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2021\Ref_2021011_Beteluriko_FV_haunditzea\Pliego\01\"/>
    </mc:Choice>
  </mc:AlternateContent>
  <xr:revisionPtr revIDLastSave="0" documentId="13_ncr:1_{7FAD8ED5-BFFF-4AC3-B944-F6A4390EC6D9}" xr6:coauthVersionLast="47" xr6:coauthVersionMax="47" xr10:uidLastSave="{00000000-0000-0000-0000-000000000000}"/>
  <bookViews>
    <workbookView xWindow="-120" yWindow="-120" windowWidth="29040" windowHeight="15840" activeTab="1" xr2:uid="{EC53866D-794C-4931-8C38-8EDAFC4356B4}"/>
  </bookViews>
  <sheets>
    <sheet name="Ejemplo" sheetId="1" r:id="rId1"/>
    <sheet name="Oferta" sheetId="5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0" i="5" l="1"/>
  <c r="J29" i="5"/>
  <c r="J28" i="5"/>
  <c r="J27" i="5"/>
  <c r="J31" i="5" s="1"/>
  <c r="G27" i="5"/>
  <c r="G28" i="5" s="1"/>
  <c r="G29" i="5" s="1"/>
  <c r="G30" i="5" s="1"/>
  <c r="G31" i="5" s="1"/>
  <c r="G32" i="5" s="1"/>
  <c r="G33" i="5" s="1"/>
  <c r="G34" i="5" s="1"/>
  <c r="G35" i="5" s="1"/>
  <c r="G36" i="5" s="1"/>
  <c r="G37" i="5" s="1"/>
  <c r="G38" i="5" s="1"/>
  <c r="G39" i="5" s="1"/>
  <c r="G40" i="5" s="1"/>
  <c r="G41" i="5" s="1"/>
  <c r="G42" i="5" s="1"/>
  <c r="G43" i="5" s="1"/>
  <c r="G44" i="5" s="1"/>
  <c r="G45" i="5" s="1"/>
  <c r="G46" i="5" s="1"/>
  <c r="G47" i="5" s="1"/>
  <c r="G48" i="5" s="1"/>
  <c r="G49" i="5" s="1"/>
  <c r="G50" i="5" s="1"/>
  <c r="E27" i="5"/>
  <c r="E28" i="5" s="1"/>
  <c r="E29" i="5" s="1"/>
  <c r="E30" i="5" s="1"/>
  <c r="E31" i="5" s="1"/>
  <c r="E32" i="5" s="1"/>
  <c r="E33" i="5" s="1"/>
  <c r="E34" i="5" s="1"/>
  <c r="E35" i="5" s="1"/>
  <c r="E36" i="5" s="1"/>
  <c r="E37" i="5" s="1"/>
  <c r="E38" i="5" s="1"/>
  <c r="E39" i="5" s="1"/>
  <c r="E40" i="5" s="1"/>
  <c r="E41" i="5" s="1"/>
  <c r="E42" i="5" s="1"/>
  <c r="E43" i="5" s="1"/>
  <c r="E44" i="5" s="1"/>
  <c r="E45" i="5" s="1"/>
  <c r="E46" i="5" s="1"/>
  <c r="E47" i="5" s="1"/>
  <c r="E48" i="5" s="1"/>
  <c r="E49" i="5" s="1"/>
  <c r="E50" i="5" s="1"/>
  <c r="J26" i="5"/>
  <c r="E26" i="5"/>
  <c r="K25" i="5"/>
  <c r="N25" i="5" s="1"/>
  <c r="E21" i="5"/>
  <c r="E20" i="5"/>
  <c r="E19" i="5"/>
  <c r="E8" i="5"/>
  <c r="E6" i="5"/>
  <c r="H26" i="5" s="1"/>
  <c r="E21" i="1"/>
  <c r="E20" i="1"/>
  <c r="E19" i="1"/>
  <c r="J30" i="1"/>
  <c r="J29" i="1"/>
  <c r="J28" i="1"/>
  <c r="J27" i="1"/>
  <c r="J26" i="1"/>
  <c r="J32" i="5" l="1"/>
  <c r="L31" i="5"/>
  <c r="M31" i="5" s="1"/>
  <c r="H27" i="5"/>
  <c r="I27" i="5"/>
  <c r="L26" i="5"/>
  <c r="L27" i="5" s="1"/>
  <c r="I28" i="5" l="1"/>
  <c r="H28" i="5"/>
  <c r="K28" i="5" s="1"/>
  <c r="N28" i="5" s="1"/>
  <c r="J33" i="5"/>
  <c r="L32" i="5"/>
  <c r="M32" i="5" s="1"/>
  <c r="K27" i="5"/>
  <c r="N27" i="5" s="1"/>
  <c r="M26" i="5"/>
  <c r="M27" i="5"/>
  <c r="L28" i="5"/>
  <c r="K26" i="5"/>
  <c r="N26" i="5" l="1"/>
  <c r="J34" i="5"/>
  <c r="L33" i="5"/>
  <c r="M33" i="5" s="1"/>
  <c r="H29" i="5"/>
  <c r="I29" i="5"/>
  <c r="L29" i="5"/>
  <c r="M28" i="5"/>
  <c r="K29" i="5" l="1"/>
  <c r="N29" i="5" s="1"/>
  <c r="H30" i="5"/>
  <c r="I30" i="5"/>
  <c r="J35" i="5"/>
  <c r="L34" i="5"/>
  <c r="M34" i="5" s="1"/>
  <c r="L30" i="5"/>
  <c r="M30" i="5" s="1"/>
  <c r="M29" i="5"/>
  <c r="F31" i="5"/>
  <c r="F32" i="5" s="1"/>
  <c r="I32" i="5" l="1"/>
  <c r="H32" i="5"/>
  <c r="K32" i="5" s="1"/>
  <c r="N32" i="5" s="1"/>
  <c r="J36" i="5"/>
  <c r="L35" i="5"/>
  <c r="M35" i="5" s="1"/>
  <c r="K30" i="5"/>
  <c r="F35" i="5"/>
  <c r="I31" i="5"/>
  <c r="H31" i="5"/>
  <c r="K31" i="5" s="1"/>
  <c r="N31" i="5" s="1"/>
  <c r="F33" i="5"/>
  <c r="F34" i="5"/>
  <c r="I35" i="5" l="1"/>
  <c r="H35" i="5"/>
  <c r="K35" i="5" s="1"/>
  <c r="N35" i="5" s="1"/>
  <c r="N30" i="5"/>
  <c r="H34" i="5"/>
  <c r="I34" i="5"/>
  <c r="L36" i="5"/>
  <c r="J37" i="5"/>
  <c r="M36" i="5"/>
  <c r="H33" i="5"/>
  <c r="I33" i="5"/>
  <c r="F36" i="5"/>
  <c r="J38" i="5" l="1"/>
  <c r="L37" i="5"/>
  <c r="M37" i="5" s="1"/>
  <c r="I36" i="5"/>
  <c r="H36" i="5"/>
  <c r="K34" i="5"/>
  <c r="N34" i="5" s="1"/>
  <c r="F37" i="5"/>
  <c r="F39" i="5" s="1"/>
  <c r="F38" i="5"/>
  <c r="K33" i="5"/>
  <c r="K36" i="5" l="1"/>
  <c r="N36" i="5" s="1"/>
  <c r="I39" i="5"/>
  <c r="H39" i="5"/>
  <c r="H38" i="5"/>
  <c r="I38" i="5"/>
  <c r="M38" i="5"/>
  <c r="J39" i="5"/>
  <c r="L38" i="5"/>
  <c r="F40" i="5"/>
  <c r="F42" i="5" s="1"/>
  <c r="H37" i="5"/>
  <c r="F41" i="5"/>
  <c r="I37" i="5"/>
  <c r="N33" i="5"/>
  <c r="E8" i="1"/>
  <c r="L26" i="1"/>
  <c r="L27" i="1" s="1"/>
  <c r="L28" i="1" s="1"/>
  <c r="L29" i="1" s="1"/>
  <c r="L30" i="1" s="1"/>
  <c r="M30" i="1" s="1"/>
  <c r="G27" i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G40" i="1" s="1"/>
  <c r="G41" i="1" s="1"/>
  <c r="G42" i="1" s="1"/>
  <c r="G43" i="1" s="1"/>
  <c r="G44" i="1" s="1"/>
  <c r="G45" i="1" s="1"/>
  <c r="G46" i="1" s="1"/>
  <c r="G47" i="1" s="1"/>
  <c r="J31" i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L50" i="1" s="1"/>
  <c r="H42" i="5" l="1"/>
  <c r="I42" i="5"/>
  <c r="K38" i="5"/>
  <c r="N38" i="5" s="1"/>
  <c r="H41" i="5"/>
  <c r="I41" i="5"/>
  <c r="K37" i="5"/>
  <c r="I40" i="5"/>
  <c r="H40" i="5"/>
  <c r="F43" i="5"/>
  <c r="J40" i="5"/>
  <c r="L39" i="5"/>
  <c r="M39" i="5" s="1"/>
  <c r="M26" i="1"/>
  <c r="M29" i="1"/>
  <c r="M28" i="1"/>
  <c r="M27" i="1"/>
  <c r="M50" i="1"/>
  <c r="L41" i="1"/>
  <c r="M41" i="1" s="1"/>
  <c r="L33" i="1"/>
  <c r="M33" i="1" s="1"/>
  <c r="L48" i="1"/>
  <c r="M48" i="1" s="1"/>
  <c r="L40" i="1"/>
  <c r="M40" i="1" s="1"/>
  <c r="L47" i="1"/>
  <c r="M47" i="1" s="1"/>
  <c r="L39" i="1"/>
  <c r="M39" i="1" s="1"/>
  <c r="L31" i="1"/>
  <c r="M31" i="1" s="1"/>
  <c r="L46" i="1"/>
  <c r="M46" i="1" s="1"/>
  <c r="L38" i="1"/>
  <c r="M38" i="1" s="1"/>
  <c r="L42" i="1"/>
  <c r="M42" i="1" s="1"/>
  <c r="L34" i="1"/>
  <c r="M34" i="1" s="1"/>
  <c r="L49" i="1"/>
  <c r="M49" i="1" s="1"/>
  <c r="L45" i="1"/>
  <c r="M45" i="1" s="1"/>
  <c r="L37" i="1"/>
  <c r="M37" i="1" s="1"/>
  <c r="L44" i="1"/>
  <c r="M44" i="1" s="1"/>
  <c r="L36" i="1"/>
  <c r="M36" i="1" s="1"/>
  <c r="L43" i="1"/>
  <c r="M43" i="1" s="1"/>
  <c r="L35" i="1"/>
  <c r="M35" i="1" s="1"/>
  <c r="L32" i="1"/>
  <c r="M32" i="1" s="1"/>
  <c r="G48" i="1"/>
  <c r="F27" i="1"/>
  <c r="F28" i="1" s="1"/>
  <c r="F29" i="1" s="1"/>
  <c r="F30" i="1" s="1"/>
  <c r="E6" i="1"/>
  <c r="E26" i="1"/>
  <c r="E27" i="1" s="1"/>
  <c r="E28" i="1" s="1"/>
  <c r="K25" i="1"/>
  <c r="E11" i="1"/>
  <c r="K39" i="5" l="1"/>
  <c r="N39" i="5" s="1"/>
  <c r="F45" i="5"/>
  <c r="F47" i="5" s="1"/>
  <c r="F46" i="5"/>
  <c r="N37" i="5"/>
  <c r="J41" i="5"/>
  <c r="L40" i="5"/>
  <c r="M40" i="5" s="1"/>
  <c r="I43" i="5"/>
  <c r="H43" i="5"/>
  <c r="F44" i="5"/>
  <c r="N25" i="1"/>
  <c r="H27" i="1"/>
  <c r="H26" i="1"/>
  <c r="K26" i="1" s="1"/>
  <c r="G49" i="1"/>
  <c r="H28" i="1"/>
  <c r="I27" i="1"/>
  <c r="E29" i="1"/>
  <c r="I47" i="5" l="1"/>
  <c r="H47" i="5"/>
  <c r="H46" i="5"/>
  <c r="I46" i="5"/>
  <c r="K40" i="5"/>
  <c r="J42" i="5"/>
  <c r="L41" i="5"/>
  <c r="K41" i="5" s="1"/>
  <c r="N41" i="5" s="1"/>
  <c r="H45" i="5"/>
  <c r="I45" i="5"/>
  <c r="F49" i="5"/>
  <c r="I44" i="5"/>
  <c r="H44" i="5"/>
  <c r="F48" i="5"/>
  <c r="N26" i="1"/>
  <c r="K27" i="1"/>
  <c r="G50" i="1"/>
  <c r="H29" i="1"/>
  <c r="I28" i="1"/>
  <c r="K28" i="1" s="1"/>
  <c r="E30" i="1"/>
  <c r="E31" i="1" s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  <c r="E47" i="1" s="1"/>
  <c r="E48" i="1" s="1"/>
  <c r="E49" i="1" s="1"/>
  <c r="E50" i="1" s="1"/>
  <c r="I48" i="5" l="1"/>
  <c r="H48" i="5"/>
  <c r="M41" i="5"/>
  <c r="N40" i="5"/>
  <c r="J43" i="5"/>
  <c r="L42" i="5"/>
  <c r="M42" i="5" s="1"/>
  <c r="F50" i="5"/>
  <c r="H49" i="5"/>
  <c r="I49" i="5"/>
  <c r="N27" i="1"/>
  <c r="H30" i="1"/>
  <c r="N28" i="1"/>
  <c r="K42" i="5" l="1"/>
  <c r="N42" i="5" s="1"/>
  <c r="J44" i="5"/>
  <c r="L43" i="5"/>
  <c r="M43" i="5" s="1"/>
  <c r="K43" i="5"/>
  <c r="H50" i="5"/>
  <c r="I50" i="5"/>
  <c r="F31" i="1"/>
  <c r="F32" i="1" s="1"/>
  <c r="L44" i="5" l="1"/>
  <c r="M44" i="5" s="1"/>
  <c r="J45" i="5"/>
  <c r="N43" i="5"/>
  <c r="I31" i="1"/>
  <c r="H31" i="1"/>
  <c r="I32" i="1"/>
  <c r="H32" i="1"/>
  <c r="F33" i="1"/>
  <c r="J46" i="5" l="1"/>
  <c r="L45" i="5"/>
  <c r="K45" i="5" s="1"/>
  <c r="N45" i="5" s="1"/>
  <c r="K44" i="5"/>
  <c r="K31" i="1"/>
  <c r="N31" i="1" s="1"/>
  <c r="K32" i="1"/>
  <c r="N32" i="1" s="1"/>
  <c r="H33" i="1"/>
  <c r="I33" i="1"/>
  <c r="F34" i="1"/>
  <c r="M45" i="5" l="1"/>
  <c r="N44" i="5"/>
  <c r="J47" i="5"/>
  <c r="L46" i="5"/>
  <c r="M46" i="5" s="1"/>
  <c r="K46" i="5"/>
  <c r="K33" i="1"/>
  <c r="N33" i="1" s="1"/>
  <c r="F35" i="1"/>
  <c r="F36" i="1" s="1"/>
  <c r="F37" i="1" s="1"/>
  <c r="H34" i="1"/>
  <c r="I34" i="1"/>
  <c r="J48" i="5" l="1"/>
  <c r="L47" i="5"/>
  <c r="M47" i="5"/>
  <c r="K47" i="5"/>
  <c r="N46" i="5"/>
  <c r="K34" i="1"/>
  <c r="N34" i="1" s="1"/>
  <c r="I37" i="1"/>
  <c r="H37" i="1"/>
  <c r="I36" i="1"/>
  <c r="H36" i="1"/>
  <c r="H35" i="1"/>
  <c r="I35" i="1"/>
  <c r="F38" i="1"/>
  <c r="N47" i="5" l="1"/>
  <c r="J49" i="5"/>
  <c r="L48" i="5"/>
  <c r="M48" i="5" s="1"/>
  <c r="K48" i="5"/>
  <c r="K37" i="1"/>
  <c r="N37" i="1" s="1"/>
  <c r="K36" i="1"/>
  <c r="N36" i="1" s="1"/>
  <c r="K35" i="1"/>
  <c r="N35" i="1" s="1"/>
  <c r="I38" i="1"/>
  <c r="H38" i="1"/>
  <c r="F39" i="1"/>
  <c r="N48" i="5" l="1"/>
  <c r="J50" i="5"/>
  <c r="L49" i="5"/>
  <c r="M49" i="5" s="1"/>
  <c r="K38" i="1"/>
  <c r="N38" i="1" s="1"/>
  <c r="I39" i="1"/>
  <c r="H39" i="1"/>
  <c r="F40" i="1"/>
  <c r="I29" i="1"/>
  <c r="K29" i="1" s="1"/>
  <c r="I30" i="1"/>
  <c r="K30" i="1" s="1"/>
  <c r="K49" i="5" l="1"/>
  <c r="N49" i="5"/>
  <c r="L50" i="5"/>
  <c r="M50" i="5" s="1"/>
  <c r="K50" i="5"/>
  <c r="K39" i="1"/>
  <c r="F41" i="1"/>
  <c r="F42" i="1" s="1"/>
  <c r="H40" i="1"/>
  <c r="I40" i="1"/>
  <c r="N29" i="1"/>
  <c r="E13" i="5"/>
  <c r="K22" i="5"/>
  <c r="K23" i="5"/>
  <c r="E12" i="5"/>
  <c r="E11" i="5"/>
  <c r="N50" i="5" l="1"/>
  <c r="N23" i="5" s="1"/>
  <c r="N39" i="1"/>
  <c r="K40" i="1"/>
  <c r="H42" i="1"/>
  <c r="I42" i="1"/>
  <c r="H41" i="1"/>
  <c r="I41" i="1"/>
  <c r="F43" i="1"/>
  <c r="N30" i="1"/>
  <c r="N40" i="1" l="1"/>
  <c r="K42" i="1"/>
  <c r="N42" i="1" s="1"/>
  <c r="K41" i="1"/>
  <c r="I43" i="1"/>
  <c r="H43" i="1"/>
  <c r="F44" i="1"/>
  <c r="N41" i="1" l="1"/>
  <c r="K43" i="1"/>
  <c r="F45" i="1"/>
  <c r="F46" i="1" s="1"/>
  <c r="I44" i="1"/>
  <c r="H44" i="1"/>
  <c r="N43" i="1" l="1"/>
  <c r="K44" i="1"/>
  <c r="F47" i="1"/>
  <c r="F48" i="1" s="1"/>
  <c r="I46" i="1"/>
  <c r="H46" i="1"/>
  <c r="I45" i="1"/>
  <c r="H45" i="1"/>
  <c r="K46" i="1" l="1"/>
  <c r="N46" i="1" s="1"/>
  <c r="N44" i="1"/>
  <c r="K45" i="1"/>
  <c r="I48" i="1"/>
  <c r="H48" i="1"/>
  <c r="I47" i="1"/>
  <c r="H47" i="1"/>
  <c r="F49" i="1"/>
  <c r="N45" i="1" l="1"/>
  <c r="K48" i="1"/>
  <c r="N48" i="1" s="1"/>
  <c r="K47" i="1"/>
  <c r="H49" i="1"/>
  <c r="I49" i="1"/>
  <c r="F50" i="1"/>
  <c r="K49" i="1" l="1"/>
  <c r="N47" i="1"/>
  <c r="H50" i="1"/>
  <c r="I50" i="1"/>
  <c r="K50" i="1" l="1"/>
  <c r="N49" i="1"/>
  <c r="E13" i="1"/>
  <c r="E12" i="1"/>
  <c r="K23" i="1"/>
  <c r="K22" i="1"/>
  <c r="N50" i="1" l="1"/>
  <c r="N23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Aitor Ezeiza Virumbrales</author>
  </authors>
  <commentList>
    <comment ref="E13" authorId="0" shapeId="0" xr:uid="{0A4EA08A-0750-4A63-8AFC-8BBE9ED53A67}">
      <text>
        <r>
          <rPr>
            <b/>
            <sz val="9"/>
            <color indexed="81"/>
            <rFont val="Tahoma"/>
            <family val="2"/>
          </rPr>
          <t xml:space="preserve">Mínimo 4% a valor presente
</t>
        </r>
      </text>
    </comment>
  </commentList>
</comments>
</file>

<file path=xl/sharedStrings.xml><?xml version="1.0" encoding="utf-8"?>
<sst xmlns="http://schemas.openxmlformats.org/spreadsheetml/2006/main" count="90" uniqueCount="42">
  <si>
    <t>AÑO</t>
  </si>
  <si>
    <t>FLUJO DE CAJA</t>
  </si>
  <si>
    <t>Ahorro</t>
  </si>
  <si>
    <t>€/MWh</t>
  </si>
  <si>
    <t>Tasa retorno</t>
  </si>
  <si>
    <t>VAN</t>
  </si>
  <si>
    <t>Subvención</t>
  </si>
  <si>
    <t>años</t>
  </si>
  <si>
    <t>Gasto Mtto.</t>
  </si>
  <si>
    <t>Gasto mantenimiento</t>
  </si>
  <si>
    <t>TIR</t>
  </si>
  <si>
    <t xml:space="preserve">Ratio mtto. a valor presente /obra </t>
  </si>
  <si>
    <t>Gasto mtto. a valor presente</t>
  </si>
  <si>
    <t>Ahorro autoconsumo</t>
  </si>
  <si>
    <t>Ingresos netos exportación</t>
  </si>
  <si>
    <t>Producción (MWh)</t>
  </si>
  <si>
    <t>autoconsumo</t>
  </si>
  <si>
    <t xml:space="preserve">Ingresos </t>
  </si>
  <si>
    <t>exportación</t>
  </si>
  <si>
    <t>Ratio exportación/total</t>
  </si>
  <si>
    <t>Reducción producción anual</t>
  </si>
  <si>
    <t>Amortización</t>
  </si>
  <si>
    <t>IPC anual - estimado</t>
  </si>
  <si>
    <t>Producción inicial</t>
  </si>
  <si>
    <t>Tras ampliación</t>
  </si>
  <si>
    <t>Sin ampliación</t>
  </si>
  <si>
    <t>Gasto Mtto. D3</t>
  </si>
  <si>
    <t>Celda final calculo VAN/TIR</t>
  </si>
  <si>
    <t>Celda final calculo mtto.</t>
  </si>
  <si>
    <t>Importe licitación obra</t>
  </si>
  <si>
    <t>Baja oferta obra</t>
  </si>
  <si>
    <t>Ejemplo de como rellenar la oferta</t>
  </si>
  <si>
    <t>Oferta económica obra</t>
  </si>
  <si>
    <t>Celda final calculo mtto. D3</t>
  </si>
  <si>
    <t>Con actualización IPC</t>
  </si>
  <si>
    <t>Gasto Mtto. incremental</t>
  </si>
  <si>
    <t>Comprobación</t>
  </si>
  <si>
    <t>"&gt;= 4%"</t>
  </si>
  <si>
    <t>Termino A de la oferta económica</t>
  </si>
  <si>
    <t>Oferta económica mantenimiento</t>
  </si>
  <si>
    <t>Termino B de la oferta económica</t>
  </si>
  <si>
    <t>Criterios de valoración OBJETIVA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</si>
</sst>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_-;\-* #,##0_-;_-* &quot;-&quot;??_-;_-@_-"/>
    <numFmt numFmtId="165" formatCode="0.0%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">
    <xf numFmtId="0" fontId="0" fillId="0" borderId="0" xfId="0"/>
    <xf numFmtId="44" fontId="0" fillId="0" borderId="0" xfId="2" applyFont="1"/>
    <xf numFmtId="9" fontId="0" fillId="0" borderId="0" xfId="0" applyNumberFormat="1"/>
    <xf numFmtId="8" fontId="0" fillId="0" borderId="0" xfId="0" applyNumberFormat="1"/>
    <xf numFmtId="44" fontId="0" fillId="0" borderId="0" xfId="0" applyNumberFormat="1"/>
    <xf numFmtId="44" fontId="0" fillId="2" borderId="0" xfId="2" applyFont="1" applyFill="1"/>
    <xf numFmtId="164" fontId="0" fillId="2" borderId="0" xfId="1" applyNumberFormat="1" applyFont="1" applyFill="1"/>
    <xf numFmtId="44" fontId="0" fillId="0" borderId="0" xfId="2" applyFont="1" applyFill="1"/>
    <xf numFmtId="0" fontId="2" fillId="0" borderId="0" xfId="0" applyFont="1"/>
    <xf numFmtId="8" fontId="0" fillId="0" borderId="0" xfId="2" applyNumberFormat="1" applyFont="1" applyFill="1"/>
    <xf numFmtId="165" fontId="0" fillId="0" borderId="0" xfId="0" applyNumberFormat="1"/>
    <xf numFmtId="164" fontId="0" fillId="0" borderId="0" xfId="1" applyNumberFormat="1" applyFont="1" applyFill="1"/>
    <xf numFmtId="0" fontId="2" fillId="0" borderId="1" xfId="0" applyFont="1" applyBorder="1"/>
    <xf numFmtId="0" fontId="0" fillId="0" borderId="1" xfId="0" applyBorder="1"/>
    <xf numFmtId="165" fontId="0" fillId="0" borderId="2" xfId="0" applyNumberFormat="1" applyBorder="1"/>
    <xf numFmtId="165" fontId="0" fillId="0" borderId="0" xfId="2" applyNumberFormat="1" applyFont="1" applyFill="1"/>
    <xf numFmtId="0" fontId="0" fillId="3" borderId="4" xfId="0" applyFill="1" applyBorder="1"/>
    <xf numFmtId="0" fontId="0" fillId="3" borderId="5" xfId="0" applyFill="1" applyBorder="1"/>
    <xf numFmtId="164" fontId="0" fillId="3" borderId="5" xfId="0" applyNumberFormat="1" applyFill="1" applyBorder="1"/>
    <xf numFmtId="164" fontId="0" fillId="3" borderId="5" xfId="1" applyNumberFormat="1" applyFont="1" applyFill="1" applyBorder="1"/>
    <xf numFmtId="44" fontId="0" fillId="3" borderId="5" xfId="2" applyFont="1" applyFill="1" applyBorder="1"/>
    <xf numFmtId="44" fontId="0" fillId="3" borderId="6" xfId="0" applyNumberFormat="1" applyFill="1" applyBorder="1"/>
    <xf numFmtId="0" fontId="0" fillId="3" borderId="7" xfId="0" applyFill="1" applyBorder="1"/>
    <xf numFmtId="0" fontId="0" fillId="3" borderId="0" xfId="0" applyFill="1"/>
    <xf numFmtId="164" fontId="0" fillId="3" borderId="0" xfId="0" applyNumberFormat="1" applyFill="1"/>
    <xf numFmtId="164" fontId="0" fillId="3" borderId="0" xfId="1" applyNumberFormat="1" applyFont="1" applyFill="1" applyBorder="1"/>
    <xf numFmtId="44" fontId="0" fillId="3" borderId="0" xfId="2" applyFont="1" applyFill="1" applyBorder="1"/>
    <xf numFmtId="44" fontId="0" fillId="3" borderId="8" xfId="0" applyNumberFormat="1" applyFill="1" applyBorder="1"/>
    <xf numFmtId="0" fontId="0" fillId="3" borderId="9" xfId="0" applyFill="1" applyBorder="1"/>
    <xf numFmtId="0" fontId="0" fillId="3" borderId="10" xfId="0" applyFill="1" applyBorder="1"/>
    <xf numFmtId="164" fontId="0" fillId="3" borderId="10" xfId="0" applyNumberFormat="1" applyFill="1" applyBorder="1"/>
    <xf numFmtId="164" fontId="0" fillId="3" borderId="10" xfId="1" applyNumberFormat="1" applyFont="1" applyFill="1" applyBorder="1"/>
    <xf numFmtId="44" fontId="0" fillId="3" borderId="10" xfId="2" applyFont="1" applyFill="1" applyBorder="1"/>
    <xf numFmtId="44" fontId="0" fillId="3" borderId="11" xfId="0" applyNumberFormat="1" applyFill="1" applyBorder="1"/>
    <xf numFmtId="0" fontId="0" fillId="0" borderId="0" xfId="0" applyAlignment="1">
      <alignment wrapText="1"/>
    </xf>
    <xf numFmtId="165" fontId="0" fillId="0" borderId="3" xfId="3" applyNumberFormat="1" applyFont="1" applyFill="1" applyBorder="1"/>
    <xf numFmtId="0" fontId="2" fillId="0" borderId="2" xfId="0" applyFont="1" applyBorder="1" applyAlignment="1">
      <alignment horizontal="center"/>
    </xf>
    <xf numFmtId="8" fontId="2" fillId="4" borderId="2" xfId="0" applyNumberFormat="1" applyFont="1" applyFill="1" applyBorder="1"/>
  </cellXfs>
  <cellStyles count="4">
    <cellStyle name="Millares" xfId="1" builtinId="3"/>
    <cellStyle name="Moneda" xfId="2" builtinId="4"/>
    <cellStyle name="Normal" xfId="0" builtinId="0"/>
    <cellStyle name="Porcentaje" xfId="3" builtinId="5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B2DC3-8CB5-40C7-9AAD-132C59B93EE1}">
  <dimension ref="A1:O51"/>
  <sheetViews>
    <sheetView workbookViewId="0"/>
  </sheetViews>
  <sheetFormatPr baseColWidth="10" defaultRowHeight="15" x14ac:dyDescent="0.25"/>
  <cols>
    <col min="4" max="4" width="30.85546875" bestFit="1" customWidth="1"/>
    <col min="5" max="5" width="15.5703125" bestFit="1" customWidth="1"/>
    <col min="6" max="6" width="16.85546875" bestFit="1" customWidth="1"/>
    <col min="7" max="10" width="16.85546875" customWidth="1"/>
    <col min="11" max="11" width="20.140625" bestFit="1" customWidth="1"/>
    <col min="12" max="14" width="13.5703125" customWidth="1"/>
  </cols>
  <sheetData>
    <row r="1" spans="1:9" x14ac:dyDescent="0.25">
      <c r="A1" t="s">
        <v>41</v>
      </c>
      <c r="D1" t="s">
        <v>31</v>
      </c>
    </row>
    <row r="4" spans="1:9" x14ac:dyDescent="0.25">
      <c r="D4" t="s">
        <v>13</v>
      </c>
      <c r="E4">
        <v>90</v>
      </c>
      <c r="F4" t="s">
        <v>3</v>
      </c>
    </row>
    <row r="5" spans="1:9" x14ac:dyDescent="0.25">
      <c r="D5" t="s">
        <v>14</v>
      </c>
      <c r="E5">
        <v>20</v>
      </c>
      <c r="F5" t="s">
        <v>3</v>
      </c>
    </row>
    <row r="6" spans="1:9" x14ac:dyDescent="0.25">
      <c r="D6" t="s">
        <v>19</v>
      </c>
      <c r="E6">
        <f>+ROUND(188/(988+188),2)</f>
        <v>0.16</v>
      </c>
    </row>
    <row r="7" spans="1:9" x14ac:dyDescent="0.25">
      <c r="D7" t="s">
        <v>29</v>
      </c>
      <c r="E7" s="7">
        <v>1229697.51</v>
      </c>
    </row>
    <row r="8" spans="1:9" x14ac:dyDescent="0.25">
      <c r="D8" t="s">
        <v>30</v>
      </c>
      <c r="E8" s="15">
        <f>1-E9/E7</f>
        <v>0</v>
      </c>
    </row>
    <row r="9" spans="1:9" x14ac:dyDescent="0.25">
      <c r="D9" t="s">
        <v>32</v>
      </c>
      <c r="E9" s="5">
        <v>1229697.51</v>
      </c>
      <c r="F9" t="s">
        <v>38</v>
      </c>
    </row>
    <row r="10" spans="1:9" x14ac:dyDescent="0.25">
      <c r="D10" t="s">
        <v>39</v>
      </c>
      <c r="E10" s="5">
        <v>90000</v>
      </c>
      <c r="F10" t="s">
        <v>40</v>
      </c>
    </row>
    <row r="11" spans="1:9" x14ac:dyDescent="0.25">
      <c r="D11" t="s">
        <v>9</v>
      </c>
      <c r="E11" s="7">
        <f ca="1">SUM(M25:INDIRECT($E$20))</f>
        <v>328013.26933282008</v>
      </c>
      <c r="G11" s="4"/>
    </row>
    <row r="12" spans="1:9" ht="15.75" thickBot="1" x14ac:dyDescent="0.3">
      <c r="D12" t="s">
        <v>12</v>
      </c>
      <c r="E12" s="9">
        <f ca="1">NPV($E$15,$J$25:INDIRECT($E$20))</f>
        <v>17656.379248982481</v>
      </c>
    </row>
    <row r="13" spans="1:9" ht="15.75" thickBot="1" x14ac:dyDescent="0.3">
      <c r="B13" s="2"/>
      <c r="D13" s="13" t="s">
        <v>11</v>
      </c>
      <c r="E13" s="35">
        <f ca="1">NPV($E$15,$J$25:INDIRECT($E$19))/$E$9</f>
        <v>0.11363667566384231</v>
      </c>
      <c r="F13" s="36" t="s">
        <v>37</v>
      </c>
      <c r="G13" s="8"/>
      <c r="H13" s="8"/>
      <c r="I13" s="8"/>
    </row>
    <row r="14" spans="1:9" x14ac:dyDescent="0.25">
      <c r="D14" t="s">
        <v>6</v>
      </c>
      <c r="E14" s="2">
        <v>0.65</v>
      </c>
    </row>
    <row r="15" spans="1:9" x14ac:dyDescent="0.25">
      <c r="D15" t="s">
        <v>4</v>
      </c>
      <c r="E15" s="2">
        <v>0.04</v>
      </c>
    </row>
    <row r="16" spans="1:9" x14ac:dyDescent="0.25">
      <c r="D16" t="s">
        <v>22</v>
      </c>
      <c r="E16" s="10">
        <v>3.2000000000000001E-2</v>
      </c>
    </row>
    <row r="17" spans="4:15" x14ac:dyDescent="0.25">
      <c r="D17" t="s">
        <v>20</v>
      </c>
      <c r="E17" s="2">
        <v>0.01</v>
      </c>
    </row>
    <row r="18" spans="4:15" x14ac:dyDescent="0.25">
      <c r="D18" t="s">
        <v>21</v>
      </c>
      <c r="E18">
        <v>25</v>
      </c>
      <c r="F18" t="s">
        <v>7</v>
      </c>
      <c r="J18" s="4"/>
    </row>
    <row r="19" spans="4:15" x14ac:dyDescent="0.25">
      <c r="D19" t="s">
        <v>27</v>
      </c>
      <c r="E19" t="str">
        <f>"K"&amp;(E18+25)</f>
        <v>K50</v>
      </c>
    </row>
    <row r="20" spans="4:15" x14ac:dyDescent="0.25">
      <c r="D20" t="s">
        <v>28</v>
      </c>
      <c r="E20" t="str">
        <f>"M"&amp;(E18+25)</f>
        <v>M50</v>
      </c>
    </row>
    <row r="21" spans="4:15" ht="15.75" thickBot="1" x14ac:dyDescent="0.3">
      <c r="D21" t="s">
        <v>33</v>
      </c>
      <c r="E21" t="str">
        <f>"K"&amp;(E18+25)</f>
        <v>K50</v>
      </c>
      <c r="N21" t="s">
        <v>5</v>
      </c>
    </row>
    <row r="22" spans="4:15" ht="15.75" thickBot="1" x14ac:dyDescent="0.3">
      <c r="H22" t="s">
        <v>24</v>
      </c>
      <c r="J22" s="13" t="s">
        <v>10</v>
      </c>
      <c r="K22" s="14">
        <f ca="1">IRR(K25:INDIRECT(E19))</f>
        <v>4.8537496802476099E-2</v>
      </c>
      <c r="N22" t="s">
        <v>36</v>
      </c>
    </row>
    <row r="23" spans="4:15" ht="15.75" thickBot="1" x14ac:dyDescent="0.3">
      <c r="F23" t="s">
        <v>24</v>
      </c>
      <c r="G23" t="s">
        <v>25</v>
      </c>
      <c r="H23" t="s">
        <v>2</v>
      </c>
      <c r="I23" t="s">
        <v>17</v>
      </c>
      <c r="J23" s="12" t="s">
        <v>5</v>
      </c>
      <c r="K23" s="37">
        <f ca="1">NPV($E$15,K25:INDIRECT(E19))</f>
        <v>34452.06167788052</v>
      </c>
      <c r="N23" s="3">
        <f>NPV(E15,N25:N50)</f>
        <v>34452.06167788052</v>
      </c>
    </row>
    <row r="24" spans="4:15" ht="30" x14ac:dyDescent="0.25">
      <c r="E24" t="s">
        <v>0</v>
      </c>
      <c r="F24" t="s">
        <v>15</v>
      </c>
      <c r="G24" t="s">
        <v>23</v>
      </c>
      <c r="H24" t="s">
        <v>16</v>
      </c>
      <c r="I24" t="s">
        <v>18</v>
      </c>
      <c r="J24" t="s">
        <v>8</v>
      </c>
      <c r="K24" t="s">
        <v>1</v>
      </c>
      <c r="L24" s="34" t="s">
        <v>26</v>
      </c>
      <c r="M24" s="34" t="s">
        <v>35</v>
      </c>
    </row>
    <row r="25" spans="4:15" x14ac:dyDescent="0.25">
      <c r="E25">
        <v>0</v>
      </c>
      <c r="F25" s="11"/>
      <c r="G25" s="11"/>
      <c r="H25" s="11"/>
      <c r="I25" s="11"/>
      <c r="J25" s="7"/>
      <c r="K25" s="1">
        <f>-E9*(1-E14)</f>
        <v>-430394.12849999999</v>
      </c>
      <c r="L25" s="7"/>
      <c r="N25" s="4">
        <f t="shared" ref="N25:N50" si="0">K25</f>
        <v>-430394.12849999999</v>
      </c>
      <c r="O25" s="4"/>
    </row>
    <row r="26" spans="4:15" x14ac:dyDescent="0.25">
      <c r="E26">
        <f>1+E25</f>
        <v>1</v>
      </c>
      <c r="F26" s="6">
        <v>540</v>
      </c>
      <c r="G26" s="11">
        <v>540</v>
      </c>
      <c r="H26" s="7">
        <f>$E$4*(F26-G26)*(1-$E$6)</f>
        <v>0</v>
      </c>
      <c r="I26" s="7">
        <v>0</v>
      </c>
      <c r="J26" s="7">
        <f>E10*0.5/4.5</f>
        <v>10000</v>
      </c>
      <c r="K26" s="1">
        <f t="shared" ref="K26:K50" si="1">H26+I26-J26+L26</f>
        <v>-1000</v>
      </c>
      <c r="L26" s="7">
        <f>AVERAGE(J26:J30)/2</f>
        <v>9000</v>
      </c>
      <c r="M26" s="4">
        <f t="shared" ref="M26:M50" si="2">J26-L26</f>
        <v>1000</v>
      </c>
      <c r="N26" s="4">
        <f t="shared" si="0"/>
        <v>-1000</v>
      </c>
      <c r="O26" s="4"/>
    </row>
    <row r="27" spans="4:15" x14ac:dyDescent="0.25">
      <c r="E27">
        <f t="shared" ref="E27:E50" si="3">1+E26</f>
        <v>2</v>
      </c>
      <c r="F27" s="6">
        <f>988+188</f>
        <v>1176</v>
      </c>
      <c r="G27" s="11">
        <f>G26*(1-$E$17)</f>
        <v>534.6</v>
      </c>
      <c r="H27" s="7">
        <f t="shared" ref="H27:H30" si="4">$E$4*(F27-G27)*(1-$E$6)</f>
        <v>48489.84</v>
      </c>
      <c r="I27" s="7">
        <f>F27*$E$5*$E$6</f>
        <v>3763.2000000000003</v>
      </c>
      <c r="J27" s="7">
        <f>E$10/4.5</f>
        <v>20000</v>
      </c>
      <c r="K27" s="1">
        <f t="shared" si="1"/>
        <v>41253.039999999994</v>
      </c>
      <c r="L27" s="7">
        <f>L26</f>
        <v>9000</v>
      </c>
      <c r="M27" s="4">
        <f t="shared" si="2"/>
        <v>11000</v>
      </c>
      <c r="N27" s="4">
        <f t="shared" si="0"/>
        <v>41253.039999999994</v>
      </c>
      <c r="O27" s="4"/>
    </row>
    <row r="28" spans="4:15" x14ac:dyDescent="0.25">
      <c r="E28">
        <f t="shared" si="3"/>
        <v>3</v>
      </c>
      <c r="F28" s="6">
        <f>+F27*(1-E17)</f>
        <v>1164.24</v>
      </c>
      <c r="G28" s="11">
        <f t="shared" ref="G28:G50" si="5">G27*(1-$E$17)</f>
        <v>529.25400000000002</v>
      </c>
      <c r="H28" s="7">
        <f t="shared" si="4"/>
        <v>48004.941599999998</v>
      </c>
      <c r="I28" s="7">
        <f>F28*$E$5*$E$6</f>
        <v>3725.5679999999998</v>
      </c>
      <c r="J28" s="7">
        <f>E$10/4.5</f>
        <v>20000</v>
      </c>
      <c r="K28" s="1">
        <f t="shared" si="1"/>
        <v>40730.509599999998</v>
      </c>
      <c r="L28" s="7">
        <f t="shared" ref="L28:L30" si="6">L27</f>
        <v>9000</v>
      </c>
      <c r="M28" s="4">
        <f t="shared" si="2"/>
        <v>11000</v>
      </c>
      <c r="N28" s="4">
        <f t="shared" si="0"/>
        <v>40730.509599999998</v>
      </c>
      <c r="O28" s="4"/>
    </row>
    <row r="29" spans="4:15" x14ac:dyDescent="0.25">
      <c r="E29">
        <f t="shared" si="3"/>
        <v>4</v>
      </c>
      <c r="F29" s="6">
        <f>F28*(1-E17)</f>
        <v>1152.5976000000001</v>
      </c>
      <c r="G29" s="11">
        <f t="shared" si="5"/>
        <v>523.96145999999999</v>
      </c>
      <c r="H29" s="7">
        <f t="shared" si="4"/>
        <v>47524.892184000004</v>
      </c>
      <c r="I29" s="7">
        <f>F29*$E$5*$E$6</f>
        <v>3688.3123200000005</v>
      </c>
      <c r="J29" s="7">
        <f>E$10/4.5</f>
        <v>20000</v>
      </c>
      <c r="K29" s="1">
        <f t="shared" si="1"/>
        <v>40213.204504000001</v>
      </c>
      <c r="L29" s="7">
        <f t="shared" si="6"/>
        <v>9000</v>
      </c>
      <c r="M29" s="4">
        <f t="shared" si="2"/>
        <v>11000</v>
      </c>
      <c r="N29" s="4">
        <f t="shared" si="0"/>
        <v>40213.204504000001</v>
      </c>
      <c r="O29" s="4"/>
    </row>
    <row r="30" spans="4:15" x14ac:dyDescent="0.25">
      <c r="E30">
        <f t="shared" si="3"/>
        <v>5</v>
      </c>
      <c r="F30" s="6">
        <f>F29*(1-E17)</f>
        <v>1141.0716240000002</v>
      </c>
      <c r="G30" s="11">
        <f t="shared" si="5"/>
        <v>518.72184540000001</v>
      </c>
      <c r="H30" s="7">
        <f t="shared" si="4"/>
        <v>47049.643262160011</v>
      </c>
      <c r="I30" s="7">
        <f>F30*$E$5*$E$6</f>
        <v>3651.4291968000007</v>
      </c>
      <c r="J30" s="7">
        <f>E$10/4.5</f>
        <v>20000</v>
      </c>
      <c r="K30" s="1">
        <f t="shared" si="1"/>
        <v>39701.072458960014</v>
      </c>
      <c r="L30" s="7">
        <f t="shared" si="6"/>
        <v>9000</v>
      </c>
      <c r="M30" s="4">
        <f t="shared" si="2"/>
        <v>11000</v>
      </c>
      <c r="N30" s="4">
        <f t="shared" si="0"/>
        <v>39701.072458960014</v>
      </c>
      <c r="O30" s="4"/>
    </row>
    <row r="31" spans="4:15" x14ac:dyDescent="0.25">
      <c r="D31" s="16" t="s">
        <v>34</v>
      </c>
      <c r="E31" s="17">
        <f t="shared" si="3"/>
        <v>6</v>
      </c>
      <c r="F31" s="18">
        <f>AVERAGE(F27:F30)*(1-4*$E$17)</f>
        <v>1112.1382137599999</v>
      </c>
      <c r="G31" s="19">
        <f t="shared" si="5"/>
        <v>513.534626946</v>
      </c>
      <c r="H31" s="20">
        <f>$E$4*(F31-G31)*(1-$E$6)*(1+$E$16)</f>
        <v>46702.572960358819</v>
      </c>
      <c r="I31" s="20">
        <f>F31*$E$5*$E$6*(1+$E$16)</f>
        <v>3672.7252371210234</v>
      </c>
      <c r="J31" s="21">
        <f>AVERAGE(J27:J30)*(1+$E$16)</f>
        <v>20640</v>
      </c>
      <c r="K31" s="1">
        <f t="shared" si="1"/>
        <v>40055.298197479846</v>
      </c>
      <c r="L31" s="7">
        <f t="shared" ref="L31:L50" si="7">J31/2</f>
        <v>10320</v>
      </c>
      <c r="M31" s="4">
        <f t="shared" si="2"/>
        <v>10320</v>
      </c>
      <c r="N31" s="4">
        <f t="shared" si="0"/>
        <v>40055.298197479846</v>
      </c>
      <c r="O31" s="4"/>
    </row>
    <row r="32" spans="4:15" x14ac:dyDescent="0.25">
      <c r="D32" s="22"/>
      <c r="E32" s="23">
        <f t="shared" si="3"/>
        <v>7</v>
      </c>
      <c r="F32" s="24">
        <f t="shared" ref="F32:F50" si="8">AVERAGE(F28:F31)*(1-4*$E$17)</f>
        <v>1096.8113850623999</v>
      </c>
      <c r="G32" s="25">
        <f t="shared" si="5"/>
        <v>508.39928067654</v>
      </c>
      <c r="H32" s="26">
        <f>$E$4*(F32-G32)*(1-$E$6)*(1+$E$16)</f>
        <v>45907.441654501279</v>
      </c>
      <c r="I32" s="26">
        <f>F32*$E$5*$E$6*(1+$E$16)</f>
        <v>3622.1099180300694</v>
      </c>
      <c r="J32" s="27">
        <f>J31*(1+$E$16)</f>
        <v>21300.48</v>
      </c>
      <c r="K32" s="1">
        <f t="shared" si="1"/>
        <v>38879.311572531347</v>
      </c>
      <c r="L32" s="7">
        <f t="shared" si="7"/>
        <v>10650.24</v>
      </c>
      <c r="M32" s="4">
        <f t="shared" si="2"/>
        <v>10650.24</v>
      </c>
      <c r="N32" s="4">
        <f t="shared" si="0"/>
        <v>38879.311572531347</v>
      </c>
      <c r="O32" s="4"/>
    </row>
    <row r="33" spans="4:15" x14ac:dyDescent="0.25">
      <c r="D33" s="22"/>
      <c r="E33" s="23">
        <f t="shared" si="3"/>
        <v>8</v>
      </c>
      <c r="F33" s="24">
        <f t="shared" si="8"/>
        <v>1080.6285174773759</v>
      </c>
      <c r="G33" s="25">
        <f t="shared" si="5"/>
        <v>503.31528786977458</v>
      </c>
      <c r="H33" s="26">
        <f>$E$4*(F33-G33)*(1-$E$6)*(1+$E$16)</f>
        <v>45041.516323401367</v>
      </c>
      <c r="I33" s="26">
        <f>F33*$E$5*$E$6*(1+$E$16)</f>
        <v>3568.6676161172859</v>
      </c>
      <c r="J33" s="27">
        <f t="shared" ref="J33:J50" si="9">J32*(1+$E$16)</f>
        <v>21982.095359999999</v>
      </c>
      <c r="K33" s="1">
        <f t="shared" si="1"/>
        <v>37619.136259518651</v>
      </c>
      <c r="L33" s="7">
        <f t="shared" si="7"/>
        <v>10991.04768</v>
      </c>
      <c r="M33" s="4">
        <f t="shared" si="2"/>
        <v>10991.04768</v>
      </c>
      <c r="N33" s="4">
        <f t="shared" si="0"/>
        <v>37619.136259518651</v>
      </c>
      <c r="O33" s="4"/>
    </row>
    <row r="34" spans="4:15" x14ac:dyDescent="0.25">
      <c r="D34" s="22"/>
      <c r="E34" s="23">
        <f t="shared" si="3"/>
        <v>9</v>
      </c>
      <c r="F34" s="24">
        <f t="shared" si="8"/>
        <v>1063.3559376719461</v>
      </c>
      <c r="G34" s="25">
        <f t="shared" si="5"/>
        <v>498.28213499107682</v>
      </c>
      <c r="H34" s="26">
        <f>$E$4*(F34-G34)*(1-$E$6)*(1+$E$16)</f>
        <v>44086.606026119269</v>
      </c>
      <c r="I34" s="26">
        <f>F34*$E$5*$E$6*(1+$E$16)</f>
        <v>3511.6266485678348</v>
      </c>
      <c r="J34" s="27">
        <f t="shared" si="9"/>
        <v>22685.52241152</v>
      </c>
      <c r="K34" s="1">
        <f t="shared" si="1"/>
        <v>36255.471468927106</v>
      </c>
      <c r="L34" s="7">
        <f t="shared" si="7"/>
        <v>11342.76120576</v>
      </c>
      <c r="M34" s="4">
        <f t="shared" si="2"/>
        <v>11342.76120576</v>
      </c>
      <c r="N34" s="4">
        <f t="shared" si="0"/>
        <v>36255.471468927106</v>
      </c>
      <c r="O34" s="4"/>
    </row>
    <row r="35" spans="4:15" x14ac:dyDescent="0.25">
      <c r="D35" s="22"/>
      <c r="E35" s="23">
        <f t="shared" si="3"/>
        <v>10</v>
      </c>
      <c r="F35" s="24">
        <f t="shared" si="8"/>
        <v>1044.7041729532132</v>
      </c>
      <c r="G35" s="25">
        <f t="shared" si="5"/>
        <v>493.29931364116607</v>
      </c>
      <c r="H35" s="26">
        <f>$E$4*(F35-G35)*(1-$E$6)*(1+$E$16)</f>
        <v>43020.16599963847</v>
      </c>
      <c r="I35" s="26">
        <f>F35*$E$5*$E$6*(1+$E$16)</f>
        <v>3450.0310607606912</v>
      </c>
      <c r="J35" s="27">
        <f t="shared" si="9"/>
        <v>23411.459128688639</v>
      </c>
      <c r="K35" s="1">
        <f t="shared" si="1"/>
        <v>34764.467496054836</v>
      </c>
      <c r="L35" s="7">
        <f t="shared" si="7"/>
        <v>11705.729564344319</v>
      </c>
      <c r="M35" s="4">
        <f t="shared" si="2"/>
        <v>11705.729564344319</v>
      </c>
      <c r="N35" s="4">
        <f t="shared" si="0"/>
        <v>34764.467496054836</v>
      </c>
      <c r="O35" s="4"/>
    </row>
    <row r="36" spans="4:15" x14ac:dyDescent="0.25">
      <c r="D36" s="22"/>
      <c r="E36" s="23">
        <f t="shared" si="3"/>
        <v>11</v>
      </c>
      <c r="F36" s="24">
        <f t="shared" si="8"/>
        <v>1028.5200031595843</v>
      </c>
      <c r="G36" s="25">
        <f t="shared" si="5"/>
        <v>488.36632050475441</v>
      </c>
      <c r="H36" s="26">
        <f>$E$4*(F36-G36)*(1-$E$6)*(1+$E$16)</f>
        <v>42142.358197783702</v>
      </c>
      <c r="I36" s="26">
        <f>F36*$E$5*$E$6*(1+$E$16)</f>
        <v>3396.5844584342112</v>
      </c>
      <c r="J36" s="27">
        <f t="shared" si="9"/>
        <v>24160.625820806676</v>
      </c>
      <c r="K36" s="1">
        <f t="shared" si="1"/>
        <v>33458.629745814578</v>
      </c>
      <c r="L36" s="7">
        <f t="shared" si="7"/>
        <v>12080.312910403338</v>
      </c>
      <c r="M36" s="4">
        <f t="shared" si="2"/>
        <v>12080.312910403338</v>
      </c>
      <c r="N36" s="4">
        <f t="shared" si="0"/>
        <v>33458.629745814578</v>
      </c>
      <c r="O36" s="4"/>
    </row>
    <row r="37" spans="4:15" x14ac:dyDescent="0.25">
      <c r="D37" s="22"/>
      <c r="E37" s="23">
        <f t="shared" si="3"/>
        <v>12</v>
      </c>
      <c r="F37" s="24">
        <f t="shared" si="8"/>
        <v>1012.1300715029087</v>
      </c>
      <c r="G37" s="25">
        <f t="shared" si="5"/>
        <v>483.48265729970689</v>
      </c>
      <c r="H37" s="26">
        <f>$E$4*(F37-G37)*(1-$E$6)*(1+$E$16)</f>
        <v>41244.648338202438</v>
      </c>
      <c r="I37" s="26">
        <f>F37*$E$5*$E$6*(1+$E$16)</f>
        <v>3342.4583481312061</v>
      </c>
      <c r="J37" s="27">
        <f t="shared" si="9"/>
        <v>24933.765847072489</v>
      </c>
      <c r="K37" s="1">
        <f t="shared" si="1"/>
        <v>32120.223762797403</v>
      </c>
      <c r="L37" s="7">
        <f t="shared" si="7"/>
        <v>12466.882923536245</v>
      </c>
      <c r="M37" s="4">
        <f t="shared" si="2"/>
        <v>12466.882923536245</v>
      </c>
      <c r="N37" s="4">
        <f t="shared" si="0"/>
        <v>32120.223762797403</v>
      </c>
      <c r="O37" s="4"/>
    </row>
    <row r="38" spans="4:15" x14ac:dyDescent="0.25">
      <c r="D38" s="22"/>
      <c r="E38" s="23">
        <f t="shared" si="3"/>
        <v>13</v>
      </c>
      <c r="F38" s="24">
        <f t="shared" si="8"/>
        <v>995.69044446903649</v>
      </c>
      <c r="G38" s="25">
        <f t="shared" si="5"/>
        <v>478.6478307267098</v>
      </c>
      <c r="H38" s="26">
        <f>$E$4*(F38-G38)*(1-$E$6)*(1+$E$16)</f>
        <v>40339.251090085338</v>
      </c>
      <c r="I38" s="26">
        <f>F38*$E$5*$E$6*(1+$E$16)</f>
        <v>3288.1681238145461</v>
      </c>
      <c r="J38" s="27">
        <f t="shared" si="9"/>
        <v>25731.646354178811</v>
      </c>
      <c r="K38" s="1">
        <f t="shared" si="1"/>
        <v>30761.596036810479</v>
      </c>
      <c r="L38" s="7">
        <f t="shared" si="7"/>
        <v>12865.823177089405</v>
      </c>
      <c r="M38" s="4">
        <f t="shared" si="2"/>
        <v>12865.823177089405</v>
      </c>
      <c r="N38" s="4">
        <f t="shared" si="0"/>
        <v>30761.596036810479</v>
      </c>
      <c r="O38" s="4"/>
    </row>
    <row r="39" spans="4:15" x14ac:dyDescent="0.25">
      <c r="D39" s="22"/>
      <c r="E39" s="23">
        <f t="shared" si="3"/>
        <v>14</v>
      </c>
      <c r="F39" s="24">
        <f t="shared" si="8"/>
        <v>979.45072610033822</v>
      </c>
      <c r="G39" s="25">
        <f t="shared" si="5"/>
        <v>473.86135241944271</v>
      </c>
      <c r="H39" s="26">
        <f>$E$4*(F39-G39)*(1-$E$6)*(1+$E$16)</f>
        <v>39445.678463084521</v>
      </c>
      <c r="I39" s="26">
        <f>F39*$E$5*$E$6*(1+$E$16)</f>
        <v>3234.5380778737567</v>
      </c>
      <c r="J39" s="27">
        <f t="shared" si="9"/>
        <v>26555.059037512532</v>
      </c>
      <c r="K39" s="1">
        <f t="shared" si="1"/>
        <v>29402.687022202015</v>
      </c>
      <c r="L39" s="7">
        <f t="shared" si="7"/>
        <v>13277.529518756266</v>
      </c>
      <c r="M39" s="4">
        <f t="shared" si="2"/>
        <v>13277.529518756266</v>
      </c>
      <c r="N39" s="4">
        <f t="shared" si="0"/>
        <v>29402.687022202015</v>
      </c>
      <c r="O39" s="4"/>
    </row>
    <row r="40" spans="4:15" x14ac:dyDescent="0.25">
      <c r="D40" s="22"/>
      <c r="E40" s="23">
        <f t="shared" si="3"/>
        <v>15</v>
      </c>
      <c r="F40" s="24">
        <f t="shared" si="8"/>
        <v>963.78989885564829</v>
      </c>
      <c r="G40" s="25">
        <f t="shared" si="5"/>
        <v>469.12273889524829</v>
      </c>
      <c r="H40" s="26">
        <f>$E$4*(F40-G40)*(1-$E$6)*(1+$E$16)</f>
        <v>38593.536086382439</v>
      </c>
      <c r="I40" s="26">
        <f>F40*$E$5*$E$6*(1+$E$16)</f>
        <v>3182.8197619808925</v>
      </c>
      <c r="J40" s="27">
        <f t="shared" si="9"/>
        <v>27404.820926712935</v>
      </c>
      <c r="K40" s="1">
        <f t="shared" si="1"/>
        <v>28073.945385006864</v>
      </c>
      <c r="L40" s="7">
        <f t="shared" si="7"/>
        <v>13702.410463356468</v>
      </c>
      <c r="M40" s="4">
        <f t="shared" si="2"/>
        <v>13702.410463356468</v>
      </c>
      <c r="N40" s="4">
        <f t="shared" si="0"/>
        <v>28073.945385006864</v>
      </c>
      <c r="O40" s="4"/>
    </row>
    <row r="41" spans="4:15" x14ac:dyDescent="0.25">
      <c r="D41" s="22"/>
      <c r="E41" s="23">
        <f t="shared" si="3"/>
        <v>16</v>
      </c>
      <c r="F41" s="24">
        <f t="shared" si="8"/>
        <v>948.25467382270358</v>
      </c>
      <c r="G41" s="25">
        <f t="shared" si="5"/>
        <v>464.43151150629581</v>
      </c>
      <c r="H41" s="26">
        <f>$E$4*(F41-G41)*(1-$E$6)*(1+$E$16)</f>
        <v>37747.496065396277</v>
      </c>
      <c r="I41" s="26">
        <f>F41*$E$5*$E$6*(1+$E$16)</f>
        <v>3131.5162348320964</v>
      </c>
      <c r="J41" s="27">
        <f t="shared" si="9"/>
        <v>28281.775196367751</v>
      </c>
      <c r="K41" s="1">
        <f t="shared" si="1"/>
        <v>26738.124702044497</v>
      </c>
      <c r="L41" s="7">
        <f t="shared" si="7"/>
        <v>14140.887598183876</v>
      </c>
      <c r="M41" s="4">
        <f t="shared" si="2"/>
        <v>14140.887598183876</v>
      </c>
      <c r="N41" s="4">
        <f t="shared" si="0"/>
        <v>26738.124702044497</v>
      </c>
      <c r="O41" s="4"/>
    </row>
    <row r="42" spans="4:15" x14ac:dyDescent="0.25">
      <c r="D42" s="22"/>
      <c r="E42" s="23">
        <f t="shared" si="3"/>
        <v>17</v>
      </c>
      <c r="F42" s="24">
        <f t="shared" si="8"/>
        <v>932.92457837945426</v>
      </c>
      <c r="G42" s="25">
        <f t="shared" si="5"/>
        <v>459.78719639123284</v>
      </c>
      <c r="H42" s="26">
        <f>$E$4*(F42-G42)*(1-$E$6)*(1+$E$16)</f>
        <v>36913.800032815445</v>
      </c>
      <c r="I42" s="26">
        <f>F42*$E$5*$E$6*(1+$E$16)</f>
        <v>3080.8901276403099</v>
      </c>
      <c r="J42" s="27">
        <f t="shared" si="9"/>
        <v>29186.79200265152</v>
      </c>
      <c r="K42" s="1">
        <f t="shared" si="1"/>
        <v>25401.294159129997</v>
      </c>
      <c r="L42" s="7">
        <f t="shared" si="7"/>
        <v>14593.39600132576</v>
      </c>
      <c r="M42" s="4">
        <f t="shared" si="2"/>
        <v>14593.39600132576</v>
      </c>
      <c r="N42" s="4">
        <f t="shared" si="0"/>
        <v>25401.294159129997</v>
      </c>
      <c r="O42" s="4"/>
    </row>
    <row r="43" spans="4:15" x14ac:dyDescent="0.25">
      <c r="D43" s="22"/>
      <c r="E43" s="23">
        <f t="shared" si="3"/>
        <v>18</v>
      </c>
      <c r="F43" s="24">
        <f t="shared" si="8"/>
        <v>917.86077051795451</v>
      </c>
      <c r="G43" s="25">
        <f t="shared" si="5"/>
        <v>455.18932442732051</v>
      </c>
      <c r="H43" s="26">
        <f>$E$4*(F43-G43)*(1-$E$6)*(1+$E$16)</f>
        <v>36097.256086834393</v>
      </c>
      <c r="I43" s="26">
        <f>F43*$E$5*$E$6*(1+$E$16)</f>
        <v>3031.1434085584933</v>
      </c>
      <c r="J43" s="27">
        <f t="shared" si="9"/>
        <v>30120.769346736372</v>
      </c>
      <c r="K43" s="1">
        <f t="shared" si="1"/>
        <v>24068.014822024699</v>
      </c>
      <c r="L43" s="7">
        <f t="shared" si="7"/>
        <v>15060.384673368186</v>
      </c>
      <c r="M43" s="4">
        <f t="shared" si="2"/>
        <v>15060.384673368186</v>
      </c>
      <c r="N43" s="4">
        <f t="shared" si="0"/>
        <v>24068.014822024699</v>
      </c>
      <c r="O43" s="4"/>
    </row>
    <row r="44" spans="4:15" x14ac:dyDescent="0.25">
      <c r="D44" s="22"/>
      <c r="E44" s="23">
        <f t="shared" si="3"/>
        <v>19</v>
      </c>
      <c r="F44" s="24">
        <f t="shared" si="8"/>
        <v>903.07918117818247</v>
      </c>
      <c r="G44" s="25">
        <f t="shared" si="5"/>
        <v>450.63743118304728</v>
      </c>
      <c r="H44" s="26">
        <f>$E$4*(F44-G44)*(1-$E$6)*(1+$E$16)</f>
        <v>35299.143381220449</v>
      </c>
      <c r="I44" s="26">
        <f>F44*$E$5*$E$6*(1+$E$16)</f>
        <v>2982.3286879228299</v>
      </c>
      <c r="J44" s="27">
        <f t="shared" si="9"/>
        <v>31084.633965831938</v>
      </c>
      <c r="K44" s="1">
        <f t="shared" si="1"/>
        <v>22739.155086227314</v>
      </c>
      <c r="L44" s="7">
        <f t="shared" si="7"/>
        <v>15542.316982915969</v>
      </c>
      <c r="M44" s="4">
        <f t="shared" si="2"/>
        <v>15542.316982915969</v>
      </c>
      <c r="N44" s="4">
        <f t="shared" si="0"/>
        <v>22739.155086227314</v>
      </c>
      <c r="O44" s="4"/>
    </row>
    <row r="45" spans="4:15" x14ac:dyDescent="0.25">
      <c r="D45" s="22"/>
      <c r="E45" s="23">
        <f t="shared" si="3"/>
        <v>20</v>
      </c>
      <c r="F45" s="24">
        <f t="shared" si="8"/>
        <v>888.5086089355907</v>
      </c>
      <c r="G45" s="25">
        <f t="shared" si="5"/>
        <v>446.1310568712168</v>
      </c>
      <c r="H45" s="26">
        <f>$E$4*(F45-G45)*(1-$E$6)*(1+$E$16)</f>
        <v>34513.942710020798</v>
      </c>
      <c r="I45" s="26">
        <f>F45*$E$5*$E$6*(1+$E$16)</f>
        <v>2934.2108301488947</v>
      </c>
      <c r="J45" s="27">
        <f t="shared" si="9"/>
        <v>32079.342252738559</v>
      </c>
      <c r="K45" s="1">
        <f t="shared" si="1"/>
        <v>21408.482413800411</v>
      </c>
      <c r="L45" s="7">
        <f t="shared" si="7"/>
        <v>16039.67112636928</v>
      </c>
      <c r="M45" s="4">
        <f t="shared" si="2"/>
        <v>16039.67112636928</v>
      </c>
      <c r="N45" s="4">
        <f t="shared" si="0"/>
        <v>21408.482413800411</v>
      </c>
      <c r="O45" s="4"/>
    </row>
    <row r="46" spans="4:15" x14ac:dyDescent="0.25">
      <c r="D46" s="22"/>
      <c r="E46" s="23">
        <f t="shared" si="3"/>
        <v>21</v>
      </c>
      <c r="F46" s="24">
        <f t="shared" si="8"/>
        <v>874.16955336268359</v>
      </c>
      <c r="G46" s="25">
        <f t="shared" si="5"/>
        <v>441.66974630250462</v>
      </c>
      <c r="H46" s="26">
        <f>$E$4*(F46-G46)*(1-$E$6)*(1+$E$16)</f>
        <v>33743.288946989516</v>
      </c>
      <c r="I46" s="26">
        <f>F46*$E$5*$E$6*(1+$E$16)</f>
        <v>2886.8575330249269</v>
      </c>
      <c r="J46" s="27">
        <f t="shared" si="9"/>
        <v>33105.881204826197</v>
      </c>
      <c r="K46" s="1">
        <f t="shared" si="1"/>
        <v>20077.205877601347</v>
      </c>
      <c r="L46" s="7">
        <f t="shared" si="7"/>
        <v>16552.940602413099</v>
      </c>
      <c r="M46" s="4">
        <f t="shared" si="2"/>
        <v>16552.940602413099</v>
      </c>
      <c r="N46" s="4">
        <f t="shared" si="0"/>
        <v>20077.205877601347</v>
      </c>
      <c r="O46" s="4"/>
    </row>
    <row r="47" spans="4:15" x14ac:dyDescent="0.25">
      <c r="D47" s="22"/>
      <c r="E47" s="23">
        <f t="shared" si="3"/>
        <v>22</v>
      </c>
      <c r="F47" s="24">
        <f t="shared" si="8"/>
        <v>860.06834735865857</v>
      </c>
      <c r="G47" s="25">
        <f t="shared" si="5"/>
        <v>437.25304883947956</v>
      </c>
      <c r="H47" s="26">
        <f>$E$4*(F47-G47)*(1-$E$6)*(1+$E$16)</f>
        <v>32987.711338227527</v>
      </c>
      <c r="I47" s="26">
        <f>F47*$E$5*$E$6*(1+$E$16)</f>
        <v>2840.289710317234</v>
      </c>
      <c r="J47" s="27">
        <f t="shared" si="9"/>
        <v>34165.269403380633</v>
      </c>
      <c r="K47" s="1">
        <f t="shared" si="1"/>
        <v>18745.366346854447</v>
      </c>
      <c r="L47" s="7">
        <f t="shared" si="7"/>
        <v>17082.634701690316</v>
      </c>
      <c r="M47" s="4">
        <f t="shared" si="2"/>
        <v>17082.634701690316</v>
      </c>
      <c r="N47" s="4">
        <f t="shared" si="0"/>
        <v>18745.366346854447</v>
      </c>
      <c r="O47" s="4"/>
    </row>
    <row r="48" spans="4:15" x14ac:dyDescent="0.25">
      <c r="D48" s="22"/>
      <c r="E48" s="23">
        <f t="shared" si="3"/>
        <v>23</v>
      </c>
      <c r="F48" s="24">
        <f t="shared" si="8"/>
        <v>846.19816580042766</v>
      </c>
      <c r="G48" s="25">
        <f t="shared" si="5"/>
        <v>432.88051835108479</v>
      </c>
      <c r="H48" s="26">
        <f>$E$4*(F48-G48)*(1-$E$6)*(1+$E$16)</f>
        <v>32246.71219987977</v>
      </c>
      <c r="I48" s="26">
        <f>F48*$E$5*$E$6*(1+$E$16)</f>
        <v>2794.4848227393322</v>
      </c>
      <c r="J48" s="27">
        <f t="shared" si="9"/>
        <v>35258.558024288817</v>
      </c>
      <c r="K48" s="1">
        <f t="shared" si="1"/>
        <v>17411.918010474696</v>
      </c>
      <c r="L48" s="7">
        <f t="shared" si="7"/>
        <v>17629.279012144409</v>
      </c>
      <c r="M48" s="4">
        <f t="shared" si="2"/>
        <v>17629.279012144409</v>
      </c>
      <c r="N48" s="4">
        <f t="shared" si="0"/>
        <v>17411.918010474696</v>
      </c>
      <c r="O48" s="4"/>
    </row>
    <row r="49" spans="4:15" x14ac:dyDescent="0.25">
      <c r="D49" s="22"/>
      <c r="E49" s="23">
        <f t="shared" si="3"/>
        <v>24</v>
      </c>
      <c r="F49" s="24">
        <f t="shared" si="8"/>
        <v>832.54672210976662</v>
      </c>
      <c r="G49" s="25">
        <f t="shared" si="5"/>
        <v>428.55171316757395</v>
      </c>
      <c r="H49" s="26">
        <f>$E$4*(F49-G49)*(1-$E$6)*(1+$E$16)</f>
        <v>31519.367401662719</v>
      </c>
      <c r="I49" s="26">
        <f>F49*$E$5*$E$6*(1+$E$16)</f>
        <v>2749.4022950952935</v>
      </c>
      <c r="J49" s="27">
        <f t="shared" si="9"/>
        <v>36386.831881066064</v>
      </c>
      <c r="K49" s="1">
        <f t="shared" si="1"/>
        <v>16075.35375622498</v>
      </c>
      <c r="L49" s="7">
        <f t="shared" si="7"/>
        <v>18193.415940533032</v>
      </c>
      <c r="M49" s="4">
        <f t="shared" si="2"/>
        <v>18193.415940533032</v>
      </c>
      <c r="N49" s="4">
        <f t="shared" si="0"/>
        <v>16075.35375622498</v>
      </c>
      <c r="O49" s="4"/>
    </row>
    <row r="50" spans="4:15" x14ac:dyDescent="0.25">
      <c r="D50" s="28"/>
      <c r="E50" s="29">
        <f t="shared" si="3"/>
        <v>25</v>
      </c>
      <c r="F50" s="30">
        <f t="shared" si="8"/>
        <v>819.11586927156873</v>
      </c>
      <c r="G50" s="31">
        <f t="shared" si="5"/>
        <v>424.26619603589819</v>
      </c>
      <c r="H50" s="32">
        <f>$E$4*(F50-G50)*(1-$E$6)*(1+$E$16)</f>
        <v>30805.855626108423</v>
      </c>
      <c r="I50" s="32">
        <f>F50*$E$5*$E$6*(1+$E$16)</f>
        <v>2705.0482466824287</v>
      </c>
      <c r="J50" s="33">
        <f t="shared" si="9"/>
        <v>37551.210501260182</v>
      </c>
      <c r="K50" s="1">
        <f t="shared" si="1"/>
        <v>14735.298622160757</v>
      </c>
      <c r="L50" s="7">
        <f t="shared" si="7"/>
        <v>18775.605250630091</v>
      </c>
      <c r="M50" s="4">
        <f t="shared" si="2"/>
        <v>18775.605250630091</v>
      </c>
      <c r="N50" s="4">
        <f t="shared" si="0"/>
        <v>14735.298622160757</v>
      </c>
      <c r="O50" s="4"/>
    </row>
    <row r="51" spans="4:15" x14ac:dyDescent="0.25">
      <c r="O51" s="4"/>
    </row>
  </sheetData>
  <conditionalFormatting sqref="E13">
    <cfRule type="cellIs" dxfId="5" priority="6" operator="lessThan">
      <formula>0.04</formula>
    </cfRule>
  </conditionalFormatting>
  <conditionalFormatting sqref="J25:J30">
    <cfRule type="expression" dxfId="3" priority="7">
      <formula>#REF!</formula>
    </cfRule>
  </conditionalFormatting>
  <conditionalFormatting sqref="K22">
    <cfRule type="cellIs" dxfId="4" priority="5" operator="lessThan">
      <formula>0.03</formula>
    </cfRule>
  </conditionalFormatting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245C5-64E4-434E-AD0E-F3E07FAFA44F}">
  <dimension ref="A1:O51"/>
  <sheetViews>
    <sheetView tabSelected="1" workbookViewId="0">
      <selection activeCell="B22" sqref="B22"/>
    </sheetView>
  </sheetViews>
  <sheetFormatPr baseColWidth="10" defaultRowHeight="15" x14ac:dyDescent="0.25"/>
  <cols>
    <col min="4" max="4" width="30.85546875" bestFit="1" customWidth="1"/>
    <col min="5" max="5" width="15.5703125" bestFit="1" customWidth="1"/>
    <col min="6" max="6" width="16.85546875" bestFit="1" customWidth="1"/>
    <col min="7" max="10" width="16.85546875" customWidth="1"/>
    <col min="11" max="11" width="20.140625" bestFit="1" customWidth="1"/>
    <col min="12" max="14" width="13.5703125" customWidth="1"/>
  </cols>
  <sheetData>
    <row r="1" spans="1:9" x14ac:dyDescent="0.25">
      <c r="A1" t="s">
        <v>41</v>
      </c>
      <c r="D1" t="s">
        <v>31</v>
      </c>
    </row>
    <row r="4" spans="1:9" x14ac:dyDescent="0.25">
      <c r="D4" t="s">
        <v>13</v>
      </c>
      <c r="E4">
        <v>90</v>
      </c>
      <c r="F4" t="s">
        <v>3</v>
      </c>
    </row>
    <row r="5" spans="1:9" x14ac:dyDescent="0.25">
      <c r="D5" t="s">
        <v>14</v>
      </c>
      <c r="E5">
        <v>20</v>
      </c>
      <c r="F5" t="s">
        <v>3</v>
      </c>
    </row>
    <row r="6" spans="1:9" x14ac:dyDescent="0.25">
      <c r="D6" t="s">
        <v>19</v>
      </c>
      <c r="E6">
        <f>+ROUND(188/(988+188),2)</f>
        <v>0.16</v>
      </c>
    </row>
    <row r="7" spans="1:9" x14ac:dyDescent="0.25">
      <c r="D7" t="s">
        <v>29</v>
      </c>
      <c r="E7" s="7">
        <v>1229697.51</v>
      </c>
    </row>
    <row r="8" spans="1:9" x14ac:dyDescent="0.25">
      <c r="D8" t="s">
        <v>30</v>
      </c>
      <c r="E8" s="15">
        <f>1-E9/E7</f>
        <v>1</v>
      </c>
    </row>
    <row r="9" spans="1:9" x14ac:dyDescent="0.25">
      <c r="D9" t="s">
        <v>32</v>
      </c>
      <c r="E9" s="5"/>
      <c r="F9" t="s">
        <v>38</v>
      </c>
    </row>
    <row r="10" spans="1:9" x14ac:dyDescent="0.25">
      <c r="D10" t="s">
        <v>39</v>
      </c>
      <c r="E10" s="5"/>
      <c r="F10" t="s">
        <v>40</v>
      </c>
    </row>
    <row r="11" spans="1:9" x14ac:dyDescent="0.25">
      <c r="D11" t="s">
        <v>9</v>
      </c>
      <c r="E11" s="7">
        <f ca="1">SUM(M25:INDIRECT($E$20))</f>
        <v>0</v>
      </c>
      <c r="G11" s="4"/>
    </row>
    <row r="12" spans="1:9" ht="15.75" thickBot="1" x14ac:dyDescent="0.3">
      <c r="D12" t="s">
        <v>12</v>
      </c>
      <c r="E12" s="9" t="e">
        <f ca="1">NPV($E$15,$J$25:INDIRECT($E$20))</f>
        <v>#DIV/0!</v>
      </c>
    </row>
    <row r="13" spans="1:9" ht="15.75" thickBot="1" x14ac:dyDescent="0.3">
      <c r="B13" s="2"/>
      <c r="D13" s="13" t="s">
        <v>11</v>
      </c>
      <c r="E13" s="35" t="e">
        <f ca="1">NPV($E$15,$J$25:INDIRECT($E$19))/$E$9</f>
        <v>#DIV/0!</v>
      </c>
      <c r="F13" s="36" t="s">
        <v>37</v>
      </c>
      <c r="G13" s="8"/>
      <c r="H13" s="8"/>
      <c r="I13" s="8"/>
    </row>
    <row r="14" spans="1:9" x14ac:dyDescent="0.25">
      <c r="D14" t="s">
        <v>6</v>
      </c>
      <c r="E14" s="2">
        <v>0.65</v>
      </c>
    </row>
    <row r="15" spans="1:9" x14ac:dyDescent="0.25">
      <c r="D15" t="s">
        <v>4</v>
      </c>
      <c r="E15" s="2">
        <v>0.04</v>
      </c>
    </row>
    <row r="16" spans="1:9" x14ac:dyDescent="0.25">
      <c r="D16" t="s">
        <v>22</v>
      </c>
      <c r="E16" s="10">
        <v>3.2000000000000001E-2</v>
      </c>
    </row>
    <row r="17" spans="4:15" x14ac:dyDescent="0.25">
      <c r="D17" t="s">
        <v>20</v>
      </c>
      <c r="E17" s="2">
        <v>0.01</v>
      </c>
    </row>
    <row r="18" spans="4:15" x14ac:dyDescent="0.25">
      <c r="D18" t="s">
        <v>21</v>
      </c>
      <c r="E18">
        <v>25</v>
      </c>
      <c r="F18" t="s">
        <v>7</v>
      </c>
      <c r="J18" s="4"/>
    </row>
    <row r="19" spans="4:15" x14ac:dyDescent="0.25">
      <c r="D19" t="s">
        <v>27</v>
      </c>
      <c r="E19" t="str">
        <f>"K"&amp;(E18+25)</f>
        <v>K50</v>
      </c>
    </row>
    <row r="20" spans="4:15" x14ac:dyDescent="0.25">
      <c r="D20" t="s">
        <v>28</v>
      </c>
      <c r="E20" t="str">
        <f>"M"&amp;(E18+25)</f>
        <v>M50</v>
      </c>
    </row>
    <row r="21" spans="4:15" ht="15.75" thickBot="1" x14ac:dyDescent="0.3">
      <c r="D21" t="s">
        <v>33</v>
      </c>
      <c r="E21" t="str">
        <f>"K"&amp;(E18+25)</f>
        <v>K50</v>
      </c>
      <c r="N21" t="s">
        <v>5</v>
      </c>
    </row>
    <row r="22" spans="4:15" ht="15.75" thickBot="1" x14ac:dyDescent="0.3">
      <c r="H22" t="s">
        <v>24</v>
      </c>
      <c r="J22" s="13" t="s">
        <v>10</v>
      </c>
      <c r="K22" s="14" t="e">
        <f ca="1">IRR(K25:INDIRECT(E19))</f>
        <v>#VALUE!</v>
      </c>
      <c r="N22" t="s">
        <v>36</v>
      </c>
    </row>
    <row r="23" spans="4:15" ht="15.75" thickBot="1" x14ac:dyDescent="0.3">
      <c r="F23" t="s">
        <v>24</v>
      </c>
      <c r="G23" t="s">
        <v>25</v>
      </c>
      <c r="H23" t="s">
        <v>2</v>
      </c>
      <c r="I23" t="s">
        <v>17</v>
      </c>
      <c r="J23" s="12" t="s">
        <v>5</v>
      </c>
      <c r="K23" s="37" t="e">
        <f ca="1">NPV($E$15,K25:INDIRECT(E19))</f>
        <v>#DIV/0!</v>
      </c>
      <c r="N23" s="3" t="e">
        <f>NPV(E15,N25:N50)</f>
        <v>#DIV/0!</v>
      </c>
    </row>
    <row r="24" spans="4:15" ht="30" x14ac:dyDescent="0.25">
      <c r="E24" t="s">
        <v>0</v>
      </c>
      <c r="F24" t="s">
        <v>15</v>
      </c>
      <c r="G24" t="s">
        <v>23</v>
      </c>
      <c r="H24" t="s">
        <v>16</v>
      </c>
      <c r="I24" t="s">
        <v>18</v>
      </c>
      <c r="J24" t="s">
        <v>8</v>
      </c>
      <c r="K24" t="s">
        <v>1</v>
      </c>
      <c r="L24" s="34" t="s">
        <v>26</v>
      </c>
      <c r="M24" s="34" t="s">
        <v>35</v>
      </c>
    </row>
    <row r="25" spans="4:15" x14ac:dyDescent="0.25">
      <c r="E25">
        <v>0</v>
      </c>
      <c r="F25" s="11"/>
      <c r="G25" s="11"/>
      <c r="H25" s="11"/>
      <c r="I25" s="11"/>
      <c r="J25" s="7"/>
      <c r="K25" s="1">
        <f>-E9*(1-E14)</f>
        <v>0</v>
      </c>
      <c r="L25" s="7"/>
      <c r="N25" s="4">
        <f t="shared" ref="N25:N50" si="0">K25</f>
        <v>0</v>
      </c>
      <c r="O25" s="4"/>
    </row>
    <row r="26" spans="4:15" x14ac:dyDescent="0.25">
      <c r="E26">
        <f>1+E25</f>
        <v>1</v>
      </c>
      <c r="F26" s="6"/>
      <c r="G26" s="11">
        <v>540</v>
      </c>
      <c r="H26" s="7">
        <f>$E$4*(F26-G26)*(1-$E$6)</f>
        <v>-40824</v>
      </c>
      <c r="I26" s="7">
        <v>0</v>
      </c>
      <c r="J26" s="7">
        <f>E10*0.5/4.5</f>
        <v>0</v>
      </c>
      <c r="K26" s="1">
        <f t="shared" ref="K26:K50" si="1">H26+I26-J26+L26</f>
        <v>-40824</v>
      </c>
      <c r="L26" s="7">
        <f>AVERAGE(J26:J30)/2</f>
        <v>0</v>
      </c>
      <c r="M26" s="4">
        <f t="shared" ref="M26:M50" si="2">J26-L26</f>
        <v>0</v>
      </c>
      <c r="N26" s="4">
        <f t="shared" si="0"/>
        <v>-40824</v>
      </c>
      <c r="O26" s="4"/>
    </row>
    <row r="27" spans="4:15" x14ac:dyDescent="0.25">
      <c r="E27">
        <f t="shared" ref="E27:E50" si="3">1+E26</f>
        <v>2</v>
      </c>
      <c r="F27" s="6"/>
      <c r="G27" s="11">
        <f>G26*(1-$E$17)</f>
        <v>534.6</v>
      </c>
      <c r="H27" s="7">
        <f t="shared" ref="H27:H30" si="4">$E$4*(F27-G27)*(1-$E$6)</f>
        <v>-40415.760000000002</v>
      </c>
      <c r="I27" s="7">
        <f>F27*$E$5*$E$6</f>
        <v>0</v>
      </c>
      <c r="J27" s="7">
        <f>E$10/4.5</f>
        <v>0</v>
      </c>
      <c r="K27" s="1">
        <f t="shared" si="1"/>
        <v>-40415.760000000002</v>
      </c>
      <c r="L27" s="7">
        <f>L26</f>
        <v>0</v>
      </c>
      <c r="M27" s="4">
        <f t="shared" si="2"/>
        <v>0</v>
      </c>
      <c r="N27" s="4">
        <f t="shared" si="0"/>
        <v>-40415.760000000002</v>
      </c>
      <c r="O27" s="4"/>
    </row>
    <row r="28" spans="4:15" x14ac:dyDescent="0.25">
      <c r="E28">
        <f t="shared" si="3"/>
        <v>3</v>
      </c>
      <c r="F28" s="6"/>
      <c r="G28" s="11">
        <f t="shared" ref="G28:G50" si="5">G27*(1-$E$17)</f>
        <v>529.25400000000002</v>
      </c>
      <c r="H28" s="7">
        <f t="shared" si="4"/>
        <v>-40011.602399999996</v>
      </c>
      <c r="I28" s="7">
        <f>F28*$E$5*$E$6</f>
        <v>0</v>
      </c>
      <c r="J28" s="7">
        <f>E$10/4.5</f>
        <v>0</v>
      </c>
      <c r="K28" s="1">
        <f t="shared" si="1"/>
        <v>-40011.602399999996</v>
      </c>
      <c r="L28" s="7">
        <f t="shared" ref="L28:L30" si="6">L27</f>
        <v>0</v>
      </c>
      <c r="M28" s="4">
        <f t="shared" si="2"/>
        <v>0</v>
      </c>
      <c r="N28" s="4">
        <f t="shared" si="0"/>
        <v>-40011.602399999996</v>
      </c>
      <c r="O28" s="4"/>
    </row>
    <row r="29" spans="4:15" x14ac:dyDescent="0.25">
      <c r="E29">
        <f t="shared" si="3"/>
        <v>4</v>
      </c>
      <c r="F29" s="6"/>
      <c r="G29" s="11">
        <f t="shared" si="5"/>
        <v>523.96145999999999</v>
      </c>
      <c r="H29" s="7">
        <f t="shared" si="4"/>
        <v>-39611.486376000001</v>
      </c>
      <c r="I29" s="7">
        <f>F29*$E$5*$E$6</f>
        <v>0</v>
      </c>
      <c r="J29" s="7">
        <f>E$10/4.5</f>
        <v>0</v>
      </c>
      <c r="K29" s="1">
        <f t="shared" si="1"/>
        <v>-39611.486376000001</v>
      </c>
      <c r="L29" s="7">
        <f t="shared" si="6"/>
        <v>0</v>
      </c>
      <c r="M29" s="4">
        <f t="shared" si="2"/>
        <v>0</v>
      </c>
      <c r="N29" s="4">
        <f t="shared" si="0"/>
        <v>-39611.486376000001</v>
      </c>
      <c r="O29" s="4"/>
    </row>
    <row r="30" spans="4:15" x14ac:dyDescent="0.25">
      <c r="E30">
        <f t="shared" si="3"/>
        <v>5</v>
      </c>
      <c r="F30" s="6"/>
      <c r="G30" s="11">
        <f t="shared" si="5"/>
        <v>518.72184540000001</v>
      </c>
      <c r="H30" s="7">
        <f t="shared" si="4"/>
        <v>-39215.371512239995</v>
      </c>
      <c r="I30" s="7">
        <f>F30*$E$5*$E$6</f>
        <v>0</v>
      </c>
      <c r="J30" s="7">
        <f>E$10/4.5</f>
        <v>0</v>
      </c>
      <c r="K30" s="1">
        <f t="shared" si="1"/>
        <v>-39215.371512239995</v>
      </c>
      <c r="L30" s="7">
        <f t="shared" si="6"/>
        <v>0</v>
      </c>
      <c r="M30" s="4">
        <f t="shared" si="2"/>
        <v>0</v>
      </c>
      <c r="N30" s="4">
        <f t="shared" si="0"/>
        <v>-39215.371512239995</v>
      </c>
      <c r="O30" s="4"/>
    </row>
    <row r="31" spans="4:15" x14ac:dyDescent="0.25">
      <c r="D31" s="16" t="s">
        <v>34</v>
      </c>
      <c r="E31" s="17">
        <f t="shared" si="3"/>
        <v>6</v>
      </c>
      <c r="F31" s="18" t="e">
        <f>AVERAGE(F27:F30)*(1-4*$E$17)</f>
        <v>#DIV/0!</v>
      </c>
      <c r="G31" s="19">
        <f t="shared" si="5"/>
        <v>513.534626946</v>
      </c>
      <c r="H31" s="20" t="e">
        <f>$E$4*(F31-G31)*(1-$E$6)*(1+$E$16)</f>
        <v>#DIV/0!</v>
      </c>
      <c r="I31" s="20" t="e">
        <f>F31*$E$5*$E$6*(1+$E$16)</f>
        <v>#DIV/0!</v>
      </c>
      <c r="J31" s="21">
        <f>AVERAGE(J27:J30)*(1+$E$16)</f>
        <v>0</v>
      </c>
      <c r="K31" s="1" t="e">
        <f t="shared" si="1"/>
        <v>#DIV/0!</v>
      </c>
      <c r="L31" s="7">
        <f t="shared" ref="L31:L50" si="7">J31/2</f>
        <v>0</v>
      </c>
      <c r="M31" s="4">
        <f t="shared" si="2"/>
        <v>0</v>
      </c>
      <c r="N31" s="4" t="e">
        <f t="shared" si="0"/>
        <v>#DIV/0!</v>
      </c>
      <c r="O31" s="4"/>
    </row>
    <row r="32" spans="4:15" x14ac:dyDescent="0.25">
      <c r="D32" s="22"/>
      <c r="E32" s="23">
        <f t="shared" si="3"/>
        <v>7</v>
      </c>
      <c r="F32" s="24" t="e">
        <f t="shared" ref="F32:F50" si="8">AVERAGE(F28:F31)*(1-4*$E$17)</f>
        <v>#DIV/0!</v>
      </c>
      <c r="G32" s="25">
        <f t="shared" si="5"/>
        <v>508.39928067654</v>
      </c>
      <c r="H32" s="26" t="e">
        <f>$E$4*(F32-G32)*(1-$E$6)*(1+$E$16)</f>
        <v>#DIV/0!</v>
      </c>
      <c r="I32" s="26" t="e">
        <f>F32*$E$5*$E$6*(1+$E$16)</f>
        <v>#DIV/0!</v>
      </c>
      <c r="J32" s="27">
        <f>J31*(1+$E$16)</f>
        <v>0</v>
      </c>
      <c r="K32" s="1" t="e">
        <f t="shared" si="1"/>
        <v>#DIV/0!</v>
      </c>
      <c r="L32" s="7">
        <f t="shared" si="7"/>
        <v>0</v>
      </c>
      <c r="M32" s="4">
        <f t="shared" si="2"/>
        <v>0</v>
      </c>
      <c r="N32" s="4" t="e">
        <f t="shared" si="0"/>
        <v>#DIV/0!</v>
      </c>
      <c r="O32" s="4"/>
    </row>
    <row r="33" spans="4:15" x14ac:dyDescent="0.25">
      <c r="D33" s="22"/>
      <c r="E33" s="23">
        <f t="shared" si="3"/>
        <v>8</v>
      </c>
      <c r="F33" s="24" t="e">
        <f t="shared" si="8"/>
        <v>#DIV/0!</v>
      </c>
      <c r="G33" s="25">
        <f t="shared" si="5"/>
        <v>503.31528786977458</v>
      </c>
      <c r="H33" s="26" t="e">
        <f>$E$4*(F33-G33)*(1-$E$6)*(1+$E$16)</f>
        <v>#DIV/0!</v>
      </c>
      <c r="I33" s="26" t="e">
        <f>F33*$E$5*$E$6*(1+$E$16)</f>
        <v>#DIV/0!</v>
      </c>
      <c r="J33" s="27">
        <f t="shared" ref="J33:J50" si="9">J32*(1+$E$16)</f>
        <v>0</v>
      </c>
      <c r="K33" s="1" t="e">
        <f t="shared" si="1"/>
        <v>#DIV/0!</v>
      </c>
      <c r="L33" s="7">
        <f t="shared" si="7"/>
        <v>0</v>
      </c>
      <c r="M33" s="4">
        <f t="shared" si="2"/>
        <v>0</v>
      </c>
      <c r="N33" s="4" t="e">
        <f t="shared" si="0"/>
        <v>#DIV/0!</v>
      </c>
      <c r="O33" s="4"/>
    </row>
    <row r="34" spans="4:15" x14ac:dyDescent="0.25">
      <c r="D34" s="22"/>
      <c r="E34" s="23">
        <f t="shared" si="3"/>
        <v>9</v>
      </c>
      <c r="F34" s="24" t="e">
        <f t="shared" si="8"/>
        <v>#DIV/0!</v>
      </c>
      <c r="G34" s="25">
        <f t="shared" si="5"/>
        <v>498.28213499107682</v>
      </c>
      <c r="H34" s="26" t="e">
        <f>$E$4*(F34-G34)*(1-$E$6)*(1+$E$16)</f>
        <v>#DIV/0!</v>
      </c>
      <c r="I34" s="26" t="e">
        <f>F34*$E$5*$E$6*(1+$E$16)</f>
        <v>#DIV/0!</v>
      </c>
      <c r="J34" s="27">
        <f t="shared" si="9"/>
        <v>0</v>
      </c>
      <c r="K34" s="1" t="e">
        <f t="shared" si="1"/>
        <v>#DIV/0!</v>
      </c>
      <c r="L34" s="7">
        <f t="shared" si="7"/>
        <v>0</v>
      </c>
      <c r="M34" s="4">
        <f t="shared" si="2"/>
        <v>0</v>
      </c>
      <c r="N34" s="4" t="e">
        <f t="shared" si="0"/>
        <v>#DIV/0!</v>
      </c>
      <c r="O34" s="4"/>
    </row>
    <row r="35" spans="4:15" x14ac:dyDescent="0.25">
      <c r="D35" s="22"/>
      <c r="E35" s="23">
        <f t="shared" si="3"/>
        <v>10</v>
      </c>
      <c r="F35" s="24" t="e">
        <f t="shared" si="8"/>
        <v>#DIV/0!</v>
      </c>
      <c r="G35" s="25">
        <f t="shared" si="5"/>
        <v>493.29931364116607</v>
      </c>
      <c r="H35" s="26" t="e">
        <f>$E$4*(F35-G35)*(1-$E$6)*(1+$E$16)</f>
        <v>#DIV/0!</v>
      </c>
      <c r="I35" s="26" t="e">
        <f>F35*$E$5*$E$6*(1+$E$16)</f>
        <v>#DIV/0!</v>
      </c>
      <c r="J35" s="27">
        <f t="shared" si="9"/>
        <v>0</v>
      </c>
      <c r="K35" s="1" t="e">
        <f t="shared" si="1"/>
        <v>#DIV/0!</v>
      </c>
      <c r="L35" s="7">
        <f t="shared" si="7"/>
        <v>0</v>
      </c>
      <c r="M35" s="4">
        <f t="shared" si="2"/>
        <v>0</v>
      </c>
      <c r="N35" s="4" t="e">
        <f t="shared" si="0"/>
        <v>#DIV/0!</v>
      </c>
      <c r="O35" s="4"/>
    </row>
    <row r="36" spans="4:15" x14ac:dyDescent="0.25">
      <c r="D36" s="22"/>
      <c r="E36" s="23">
        <f t="shared" si="3"/>
        <v>11</v>
      </c>
      <c r="F36" s="24" t="e">
        <f t="shared" si="8"/>
        <v>#DIV/0!</v>
      </c>
      <c r="G36" s="25">
        <f t="shared" si="5"/>
        <v>488.36632050475441</v>
      </c>
      <c r="H36" s="26" t="e">
        <f>$E$4*(F36-G36)*(1-$E$6)*(1+$E$16)</f>
        <v>#DIV/0!</v>
      </c>
      <c r="I36" s="26" t="e">
        <f>F36*$E$5*$E$6*(1+$E$16)</f>
        <v>#DIV/0!</v>
      </c>
      <c r="J36" s="27">
        <f t="shared" si="9"/>
        <v>0</v>
      </c>
      <c r="K36" s="1" t="e">
        <f t="shared" si="1"/>
        <v>#DIV/0!</v>
      </c>
      <c r="L36" s="7">
        <f t="shared" si="7"/>
        <v>0</v>
      </c>
      <c r="M36" s="4">
        <f t="shared" si="2"/>
        <v>0</v>
      </c>
      <c r="N36" s="4" t="e">
        <f t="shared" si="0"/>
        <v>#DIV/0!</v>
      </c>
      <c r="O36" s="4"/>
    </row>
    <row r="37" spans="4:15" x14ac:dyDescent="0.25">
      <c r="D37" s="22"/>
      <c r="E37" s="23">
        <f t="shared" si="3"/>
        <v>12</v>
      </c>
      <c r="F37" s="24" t="e">
        <f t="shared" si="8"/>
        <v>#DIV/0!</v>
      </c>
      <c r="G37" s="25">
        <f t="shared" si="5"/>
        <v>483.48265729970689</v>
      </c>
      <c r="H37" s="26" t="e">
        <f>$E$4*(F37-G37)*(1-$E$6)*(1+$E$16)</f>
        <v>#DIV/0!</v>
      </c>
      <c r="I37" s="26" t="e">
        <f>F37*$E$5*$E$6*(1+$E$16)</f>
        <v>#DIV/0!</v>
      </c>
      <c r="J37" s="27">
        <f t="shared" si="9"/>
        <v>0</v>
      </c>
      <c r="K37" s="1" t="e">
        <f t="shared" si="1"/>
        <v>#DIV/0!</v>
      </c>
      <c r="L37" s="7">
        <f t="shared" si="7"/>
        <v>0</v>
      </c>
      <c r="M37" s="4">
        <f t="shared" si="2"/>
        <v>0</v>
      </c>
      <c r="N37" s="4" t="e">
        <f t="shared" si="0"/>
        <v>#DIV/0!</v>
      </c>
      <c r="O37" s="4"/>
    </row>
    <row r="38" spans="4:15" x14ac:dyDescent="0.25">
      <c r="D38" s="22"/>
      <c r="E38" s="23">
        <f t="shared" si="3"/>
        <v>13</v>
      </c>
      <c r="F38" s="24" t="e">
        <f t="shared" si="8"/>
        <v>#DIV/0!</v>
      </c>
      <c r="G38" s="25">
        <f t="shared" si="5"/>
        <v>478.6478307267098</v>
      </c>
      <c r="H38" s="26" t="e">
        <f>$E$4*(F38-G38)*(1-$E$6)*(1+$E$16)</f>
        <v>#DIV/0!</v>
      </c>
      <c r="I38" s="26" t="e">
        <f>F38*$E$5*$E$6*(1+$E$16)</f>
        <v>#DIV/0!</v>
      </c>
      <c r="J38" s="27">
        <f t="shared" si="9"/>
        <v>0</v>
      </c>
      <c r="K38" s="1" t="e">
        <f t="shared" si="1"/>
        <v>#DIV/0!</v>
      </c>
      <c r="L38" s="7">
        <f t="shared" si="7"/>
        <v>0</v>
      </c>
      <c r="M38" s="4">
        <f t="shared" si="2"/>
        <v>0</v>
      </c>
      <c r="N38" s="4" t="e">
        <f t="shared" si="0"/>
        <v>#DIV/0!</v>
      </c>
      <c r="O38" s="4"/>
    </row>
    <row r="39" spans="4:15" x14ac:dyDescent="0.25">
      <c r="D39" s="22"/>
      <c r="E39" s="23">
        <f t="shared" si="3"/>
        <v>14</v>
      </c>
      <c r="F39" s="24" t="e">
        <f t="shared" si="8"/>
        <v>#DIV/0!</v>
      </c>
      <c r="G39" s="25">
        <f t="shared" si="5"/>
        <v>473.86135241944271</v>
      </c>
      <c r="H39" s="26" t="e">
        <f>$E$4*(F39-G39)*(1-$E$6)*(1+$E$16)</f>
        <v>#DIV/0!</v>
      </c>
      <c r="I39" s="26" t="e">
        <f>F39*$E$5*$E$6*(1+$E$16)</f>
        <v>#DIV/0!</v>
      </c>
      <c r="J39" s="27">
        <f t="shared" si="9"/>
        <v>0</v>
      </c>
      <c r="K39" s="1" t="e">
        <f t="shared" si="1"/>
        <v>#DIV/0!</v>
      </c>
      <c r="L39" s="7">
        <f t="shared" si="7"/>
        <v>0</v>
      </c>
      <c r="M39" s="4">
        <f t="shared" si="2"/>
        <v>0</v>
      </c>
      <c r="N39" s="4" t="e">
        <f t="shared" si="0"/>
        <v>#DIV/0!</v>
      </c>
      <c r="O39" s="4"/>
    </row>
    <row r="40" spans="4:15" x14ac:dyDescent="0.25">
      <c r="D40" s="22"/>
      <c r="E40" s="23">
        <f t="shared" si="3"/>
        <v>15</v>
      </c>
      <c r="F40" s="24" t="e">
        <f t="shared" si="8"/>
        <v>#DIV/0!</v>
      </c>
      <c r="G40" s="25">
        <f t="shared" si="5"/>
        <v>469.12273889524829</v>
      </c>
      <c r="H40" s="26" t="e">
        <f>$E$4*(F40-G40)*(1-$E$6)*(1+$E$16)</f>
        <v>#DIV/0!</v>
      </c>
      <c r="I40" s="26" t="e">
        <f>F40*$E$5*$E$6*(1+$E$16)</f>
        <v>#DIV/0!</v>
      </c>
      <c r="J40" s="27">
        <f t="shared" si="9"/>
        <v>0</v>
      </c>
      <c r="K40" s="1" t="e">
        <f t="shared" si="1"/>
        <v>#DIV/0!</v>
      </c>
      <c r="L40" s="7">
        <f t="shared" si="7"/>
        <v>0</v>
      </c>
      <c r="M40" s="4">
        <f t="shared" si="2"/>
        <v>0</v>
      </c>
      <c r="N40" s="4" t="e">
        <f t="shared" si="0"/>
        <v>#DIV/0!</v>
      </c>
      <c r="O40" s="4"/>
    </row>
    <row r="41" spans="4:15" x14ac:dyDescent="0.25">
      <c r="D41" s="22"/>
      <c r="E41" s="23">
        <f t="shared" si="3"/>
        <v>16</v>
      </c>
      <c r="F41" s="24" t="e">
        <f t="shared" si="8"/>
        <v>#DIV/0!</v>
      </c>
      <c r="G41" s="25">
        <f t="shared" si="5"/>
        <v>464.43151150629581</v>
      </c>
      <c r="H41" s="26" t="e">
        <f>$E$4*(F41-G41)*(1-$E$6)*(1+$E$16)</f>
        <v>#DIV/0!</v>
      </c>
      <c r="I41" s="26" t="e">
        <f>F41*$E$5*$E$6*(1+$E$16)</f>
        <v>#DIV/0!</v>
      </c>
      <c r="J41" s="27">
        <f t="shared" si="9"/>
        <v>0</v>
      </c>
      <c r="K41" s="1" t="e">
        <f t="shared" si="1"/>
        <v>#DIV/0!</v>
      </c>
      <c r="L41" s="7">
        <f t="shared" si="7"/>
        <v>0</v>
      </c>
      <c r="M41" s="4">
        <f t="shared" si="2"/>
        <v>0</v>
      </c>
      <c r="N41" s="4" t="e">
        <f t="shared" si="0"/>
        <v>#DIV/0!</v>
      </c>
      <c r="O41" s="4"/>
    </row>
    <row r="42" spans="4:15" x14ac:dyDescent="0.25">
      <c r="D42" s="22"/>
      <c r="E42" s="23">
        <f t="shared" si="3"/>
        <v>17</v>
      </c>
      <c r="F42" s="24" t="e">
        <f t="shared" si="8"/>
        <v>#DIV/0!</v>
      </c>
      <c r="G42" s="25">
        <f t="shared" si="5"/>
        <v>459.78719639123284</v>
      </c>
      <c r="H42" s="26" t="e">
        <f>$E$4*(F42-G42)*(1-$E$6)*(1+$E$16)</f>
        <v>#DIV/0!</v>
      </c>
      <c r="I42" s="26" t="e">
        <f>F42*$E$5*$E$6*(1+$E$16)</f>
        <v>#DIV/0!</v>
      </c>
      <c r="J42" s="27">
        <f t="shared" si="9"/>
        <v>0</v>
      </c>
      <c r="K42" s="1" t="e">
        <f t="shared" si="1"/>
        <v>#DIV/0!</v>
      </c>
      <c r="L42" s="7">
        <f t="shared" si="7"/>
        <v>0</v>
      </c>
      <c r="M42" s="4">
        <f t="shared" si="2"/>
        <v>0</v>
      </c>
      <c r="N42" s="4" t="e">
        <f t="shared" si="0"/>
        <v>#DIV/0!</v>
      </c>
      <c r="O42" s="4"/>
    </row>
    <row r="43" spans="4:15" x14ac:dyDescent="0.25">
      <c r="D43" s="22"/>
      <c r="E43" s="23">
        <f t="shared" si="3"/>
        <v>18</v>
      </c>
      <c r="F43" s="24" t="e">
        <f t="shared" si="8"/>
        <v>#DIV/0!</v>
      </c>
      <c r="G43" s="25">
        <f t="shared" si="5"/>
        <v>455.18932442732051</v>
      </c>
      <c r="H43" s="26" t="e">
        <f>$E$4*(F43-G43)*(1-$E$6)*(1+$E$16)</f>
        <v>#DIV/0!</v>
      </c>
      <c r="I43" s="26" t="e">
        <f>F43*$E$5*$E$6*(1+$E$16)</f>
        <v>#DIV/0!</v>
      </c>
      <c r="J43" s="27">
        <f t="shared" si="9"/>
        <v>0</v>
      </c>
      <c r="K43" s="1" t="e">
        <f t="shared" si="1"/>
        <v>#DIV/0!</v>
      </c>
      <c r="L43" s="7">
        <f t="shared" si="7"/>
        <v>0</v>
      </c>
      <c r="M43" s="4">
        <f t="shared" si="2"/>
        <v>0</v>
      </c>
      <c r="N43" s="4" t="e">
        <f t="shared" si="0"/>
        <v>#DIV/0!</v>
      </c>
      <c r="O43" s="4"/>
    </row>
    <row r="44" spans="4:15" x14ac:dyDescent="0.25">
      <c r="D44" s="22"/>
      <c r="E44" s="23">
        <f t="shared" si="3"/>
        <v>19</v>
      </c>
      <c r="F44" s="24" t="e">
        <f t="shared" si="8"/>
        <v>#DIV/0!</v>
      </c>
      <c r="G44" s="25">
        <f t="shared" si="5"/>
        <v>450.63743118304728</v>
      </c>
      <c r="H44" s="26" t="e">
        <f>$E$4*(F44-G44)*(1-$E$6)*(1+$E$16)</f>
        <v>#DIV/0!</v>
      </c>
      <c r="I44" s="26" t="e">
        <f>F44*$E$5*$E$6*(1+$E$16)</f>
        <v>#DIV/0!</v>
      </c>
      <c r="J44" s="27">
        <f t="shared" si="9"/>
        <v>0</v>
      </c>
      <c r="K44" s="1" t="e">
        <f t="shared" si="1"/>
        <v>#DIV/0!</v>
      </c>
      <c r="L44" s="7">
        <f t="shared" si="7"/>
        <v>0</v>
      </c>
      <c r="M44" s="4">
        <f t="shared" si="2"/>
        <v>0</v>
      </c>
      <c r="N44" s="4" t="e">
        <f t="shared" si="0"/>
        <v>#DIV/0!</v>
      </c>
      <c r="O44" s="4"/>
    </row>
    <row r="45" spans="4:15" x14ac:dyDescent="0.25">
      <c r="D45" s="22"/>
      <c r="E45" s="23">
        <f t="shared" si="3"/>
        <v>20</v>
      </c>
      <c r="F45" s="24" t="e">
        <f t="shared" si="8"/>
        <v>#DIV/0!</v>
      </c>
      <c r="G45" s="25">
        <f t="shared" si="5"/>
        <v>446.1310568712168</v>
      </c>
      <c r="H45" s="26" t="e">
        <f>$E$4*(F45-G45)*(1-$E$6)*(1+$E$16)</f>
        <v>#DIV/0!</v>
      </c>
      <c r="I45" s="26" t="e">
        <f>F45*$E$5*$E$6*(1+$E$16)</f>
        <v>#DIV/0!</v>
      </c>
      <c r="J45" s="27">
        <f t="shared" si="9"/>
        <v>0</v>
      </c>
      <c r="K45" s="1" t="e">
        <f t="shared" si="1"/>
        <v>#DIV/0!</v>
      </c>
      <c r="L45" s="7">
        <f t="shared" si="7"/>
        <v>0</v>
      </c>
      <c r="M45" s="4">
        <f t="shared" si="2"/>
        <v>0</v>
      </c>
      <c r="N45" s="4" t="e">
        <f t="shared" si="0"/>
        <v>#DIV/0!</v>
      </c>
      <c r="O45" s="4"/>
    </row>
    <row r="46" spans="4:15" x14ac:dyDescent="0.25">
      <c r="D46" s="22"/>
      <c r="E46" s="23">
        <f t="shared" si="3"/>
        <v>21</v>
      </c>
      <c r="F46" s="24" t="e">
        <f t="shared" si="8"/>
        <v>#DIV/0!</v>
      </c>
      <c r="G46" s="25">
        <f t="shared" si="5"/>
        <v>441.66974630250462</v>
      </c>
      <c r="H46" s="26" t="e">
        <f>$E$4*(F46-G46)*(1-$E$6)*(1+$E$16)</f>
        <v>#DIV/0!</v>
      </c>
      <c r="I46" s="26" t="e">
        <f>F46*$E$5*$E$6*(1+$E$16)</f>
        <v>#DIV/0!</v>
      </c>
      <c r="J46" s="27">
        <f t="shared" si="9"/>
        <v>0</v>
      </c>
      <c r="K46" s="1" t="e">
        <f t="shared" si="1"/>
        <v>#DIV/0!</v>
      </c>
      <c r="L46" s="7">
        <f t="shared" si="7"/>
        <v>0</v>
      </c>
      <c r="M46" s="4">
        <f t="shared" si="2"/>
        <v>0</v>
      </c>
      <c r="N46" s="4" t="e">
        <f t="shared" si="0"/>
        <v>#DIV/0!</v>
      </c>
      <c r="O46" s="4"/>
    </row>
    <row r="47" spans="4:15" x14ac:dyDescent="0.25">
      <c r="D47" s="22"/>
      <c r="E47" s="23">
        <f t="shared" si="3"/>
        <v>22</v>
      </c>
      <c r="F47" s="24" t="e">
        <f t="shared" si="8"/>
        <v>#DIV/0!</v>
      </c>
      <c r="G47" s="25">
        <f t="shared" si="5"/>
        <v>437.25304883947956</v>
      </c>
      <c r="H47" s="26" t="e">
        <f>$E$4*(F47-G47)*(1-$E$6)*(1+$E$16)</f>
        <v>#DIV/0!</v>
      </c>
      <c r="I47" s="26" t="e">
        <f>F47*$E$5*$E$6*(1+$E$16)</f>
        <v>#DIV/0!</v>
      </c>
      <c r="J47" s="27">
        <f t="shared" si="9"/>
        <v>0</v>
      </c>
      <c r="K47" s="1" t="e">
        <f t="shared" si="1"/>
        <v>#DIV/0!</v>
      </c>
      <c r="L47" s="7">
        <f t="shared" si="7"/>
        <v>0</v>
      </c>
      <c r="M47" s="4">
        <f t="shared" si="2"/>
        <v>0</v>
      </c>
      <c r="N47" s="4" t="e">
        <f t="shared" si="0"/>
        <v>#DIV/0!</v>
      </c>
      <c r="O47" s="4"/>
    </row>
    <row r="48" spans="4:15" x14ac:dyDescent="0.25">
      <c r="D48" s="22"/>
      <c r="E48" s="23">
        <f t="shared" si="3"/>
        <v>23</v>
      </c>
      <c r="F48" s="24" t="e">
        <f t="shared" si="8"/>
        <v>#DIV/0!</v>
      </c>
      <c r="G48" s="25">
        <f t="shared" si="5"/>
        <v>432.88051835108479</v>
      </c>
      <c r="H48" s="26" t="e">
        <f>$E$4*(F48-G48)*(1-$E$6)*(1+$E$16)</f>
        <v>#DIV/0!</v>
      </c>
      <c r="I48" s="26" t="e">
        <f>F48*$E$5*$E$6*(1+$E$16)</f>
        <v>#DIV/0!</v>
      </c>
      <c r="J48" s="27">
        <f t="shared" si="9"/>
        <v>0</v>
      </c>
      <c r="K48" s="1" t="e">
        <f t="shared" si="1"/>
        <v>#DIV/0!</v>
      </c>
      <c r="L48" s="7">
        <f t="shared" si="7"/>
        <v>0</v>
      </c>
      <c r="M48" s="4">
        <f t="shared" si="2"/>
        <v>0</v>
      </c>
      <c r="N48" s="4" t="e">
        <f t="shared" si="0"/>
        <v>#DIV/0!</v>
      </c>
      <c r="O48" s="4"/>
    </row>
    <row r="49" spans="4:15" x14ac:dyDescent="0.25">
      <c r="D49" s="22"/>
      <c r="E49" s="23">
        <f t="shared" si="3"/>
        <v>24</v>
      </c>
      <c r="F49" s="24" t="e">
        <f t="shared" si="8"/>
        <v>#DIV/0!</v>
      </c>
      <c r="G49" s="25">
        <f t="shared" si="5"/>
        <v>428.55171316757395</v>
      </c>
      <c r="H49" s="26" t="e">
        <f>$E$4*(F49-G49)*(1-$E$6)*(1+$E$16)</f>
        <v>#DIV/0!</v>
      </c>
      <c r="I49" s="26" t="e">
        <f>F49*$E$5*$E$6*(1+$E$16)</f>
        <v>#DIV/0!</v>
      </c>
      <c r="J49" s="27">
        <f t="shared" si="9"/>
        <v>0</v>
      </c>
      <c r="K49" s="1" t="e">
        <f t="shared" si="1"/>
        <v>#DIV/0!</v>
      </c>
      <c r="L49" s="7">
        <f t="shared" si="7"/>
        <v>0</v>
      </c>
      <c r="M49" s="4">
        <f t="shared" si="2"/>
        <v>0</v>
      </c>
      <c r="N49" s="4" t="e">
        <f t="shared" si="0"/>
        <v>#DIV/0!</v>
      </c>
      <c r="O49" s="4"/>
    </row>
    <row r="50" spans="4:15" x14ac:dyDescent="0.25">
      <c r="D50" s="28"/>
      <c r="E50" s="29">
        <f t="shared" si="3"/>
        <v>25</v>
      </c>
      <c r="F50" s="30" t="e">
        <f t="shared" si="8"/>
        <v>#DIV/0!</v>
      </c>
      <c r="G50" s="31">
        <f t="shared" si="5"/>
        <v>424.26619603589819</v>
      </c>
      <c r="H50" s="32" t="e">
        <f>$E$4*(F50-G50)*(1-$E$6)*(1+$E$16)</f>
        <v>#DIV/0!</v>
      </c>
      <c r="I50" s="32" t="e">
        <f>F50*$E$5*$E$6*(1+$E$16)</f>
        <v>#DIV/0!</v>
      </c>
      <c r="J50" s="33">
        <f t="shared" si="9"/>
        <v>0</v>
      </c>
      <c r="K50" s="1" t="e">
        <f t="shared" si="1"/>
        <v>#DIV/0!</v>
      </c>
      <c r="L50" s="7">
        <f t="shared" si="7"/>
        <v>0</v>
      </c>
      <c r="M50" s="4">
        <f t="shared" si="2"/>
        <v>0</v>
      </c>
      <c r="N50" s="4" t="e">
        <f t="shared" si="0"/>
        <v>#DIV/0!</v>
      </c>
      <c r="O50" s="4"/>
    </row>
    <row r="51" spans="4:15" x14ac:dyDescent="0.25">
      <c r="O51" s="4"/>
    </row>
  </sheetData>
  <conditionalFormatting sqref="E13">
    <cfRule type="cellIs" dxfId="2" priority="2" operator="lessThan">
      <formula>0.04</formula>
    </cfRule>
  </conditionalFormatting>
  <conditionalFormatting sqref="J25:J30">
    <cfRule type="expression" dxfId="1" priority="3">
      <formula>#REF!</formula>
    </cfRule>
  </conditionalFormatting>
  <conditionalFormatting sqref="K22">
    <cfRule type="cellIs" dxfId="0" priority="1" operator="lessThan">
      <formula>0.03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Ejemplo</vt:lpstr>
      <vt:lpstr>Oferta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Aitor Ezeiza Virumbrales</dc:creator>
  <cp:lastModifiedBy>Aitor Ezeiza Virumbrales</cp:lastModifiedBy>
  <dcterms:created xsi:type="dcterms:W3CDTF">2022-11-30T08:06:10Z</dcterms:created>
  <dcterms:modified xsi:type="dcterms:W3CDTF">2024-04-26T11:39:03Z</dcterms:modified>
</cp:coreProperties>
</file>