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r\_C_S_JUR\Word\0. DOCUMENTACIÓN EXPEDIENTES\3041\correcciones\"/>
    </mc:Choice>
  </mc:AlternateContent>
  <xr:revisionPtr revIDLastSave="0" documentId="8_{34372F31-CC35-4EE5-BE37-A2373CAE5363}" xr6:coauthVersionLast="47" xr6:coauthVersionMax="47" xr10:uidLastSave="{00000000-0000-0000-0000-000000000000}"/>
  <bookViews>
    <workbookView xWindow="-120" yWindow="-120" windowWidth="29040" windowHeight="15840" xr2:uid="{EC53866D-794C-4931-8C38-8EDAFC4356B4}"/>
  </bookViews>
  <sheets>
    <sheet name="Criterio objetivo 1" sheetId="5" r:id="rId1"/>
    <sheet name="Ejemplo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5" l="1"/>
  <c r="K22" i="5"/>
  <c r="N22" i="5" s="1"/>
  <c r="J27" i="5"/>
  <c r="J26" i="5"/>
  <c r="J25" i="5"/>
  <c r="J24" i="5"/>
  <c r="G24" i="5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G40" i="5" s="1"/>
  <c r="G41" i="5" s="1"/>
  <c r="G42" i="5" s="1"/>
  <c r="G43" i="5" s="1"/>
  <c r="G44" i="5" s="1"/>
  <c r="G45" i="5" s="1"/>
  <c r="G46" i="5" s="1"/>
  <c r="G47" i="5" s="1"/>
  <c r="E24" i="5"/>
  <c r="E25" i="5" s="1"/>
  <c r="E26" i="5" s="1"/>
  <c r="E27" i="5" s="1"/>
  <c r="E28" i="5" s="1"/>
  <c r="E29" i="5" s="1"/>
  <c r="E30" i="5" s="1"/>
  <c r="E31" i="5" s="1"/>
  <c r="E32" i="5" s="1"/>
  <c r="E33" i="5" s="1"/>
  <c r="E34" i="5" s="1"/>
  <c r="E35" i="5" s="1"/>
  <c r="E36" i="5" s="1"/>
  <c r="E37" i="5" s="1"/>
  <c r="E38" i="5" s="1"/>
  <c r="E39" i="5" s="1"/>
  <c r="E40" i="5" s="1"/>
  <c r="E41" i="5" s="1"/>
  <c r="E42" i="5" s="1"/>
  <c r="E43" i="5" s="1"/>
  <c r="E44" i="5" s="1"/>
  <c r="E45" i="5" s="1"/>
  <c r="E46" i="5" s="1"/>
  <c r="E47" i="5" s="1"/>
  <c r="J23" i="5"/>
  <c r="E23" i="5"/>
  <c r="E18" i="5"/>
  <c r="E17" i="5"/>
  <c r="E16" i="5"/>
  <c r="E6" i="5"/>
  <c r="H23" i="5" s="1"/>
  <c r="E18" i="1"/>
  <c r="E17" i="1"/>
  <c r="E16" i="1"/>
  <c r="J27" i="1"/>
  <c r="J26" i="1"/>
  <c r="J25" i="1"/>
  <c r="J24" i="1"/>
  <c r="J23" i="1"/>
  <c r="J28" i="5" l="1"/>
  <c r="J29" i="5" s="1"/>
  <c r="L28" i="5"/>
  <c r="M28" i="5" s="1"/>
  <c r="H24" i="5"/>
  <c r="I24" i="5"/>
  <c r="L23" i="5"/>
  <c r="L24" i="5" s="1"/>
  <c r="I25" i="5" l="1"/>
  <c r="H25" i="5"/>
  <c r="J30" i="5"/>
  <c r="L29" i="5"/>
  <c r="M29" i="5" s="1"/>
  <c r="K24" i="5"/>
  <c r="N24" i="5" s="1"/>
  <c r="M23" i="5"/>
  <c r="M24" i="5"/>
  <c r="L25" i="5"/>
  <c r="K23" i="5"/>
  <c r="K25" i="5" l="1"/>
  <c r="N25" i="5" s="1"/>
  <c r="N23" i="5"/>
  <c r="J31" i="5"/>
  <c r="L30" i="5"/>
  <c r="M30" i="5" s="1"/>
  <c r="H26" i="5"/>
  <c r="I26" i="5"/>
  <c r="L26" i="5"/>
  <c r="M25" i="5"/>
  <c r="K26" i="5" l="1"/>
  <c r="N26" i="5" s="1"/>
  <c r="H27" i="5"/>
  <c r="I27" i="5"/>
  <c r="J32" i="5"/>
  <c r="L31" i="5"/>
  <c r="M31" i="5" s="1"/>
  <c r="L27" i="5"/>
  <c r="M27" i="5" s="1"/>
  <c r="M26" i="5"/>
  <c r="F28" i="5"/>
  <c r="F29" i="5" s="1"/>
  <c r="I29" i="5" l="1"/>
  <c r="H29" i="5"/>
  <c r="J33" i="5"/>
  <c r="L32" i="5"/>
  <c r="M32" i="5" s="1"/>
  <c r="K27" i="5"/>
  <c r="I28" i="5"/>
  <c r="H28" i="5"/>
  <c r="F30" i="5"/>
  <c r="F31" i="5" s="1"/>
  <c r="F32" i="5" s="1"/>
  <c r="K29" i="5" l="1"/>
  <c r="N29" i="5" s="1"/>
  <c r="K28" i="5"/>
  <c r="N28" i="5" s="1"/>
  <c r="I32" i="5"/>
  <c r="H32" i="5"/>
  <c r="N27" i="5"/>
  <c r="H31" i="5"/>
  <c r="I31" i="5"/>
  <c r="L33" i="5"/>
  <c r="M33" i="5" s="1"/>
  <c r="J34" i="5"/>
  <c r="H30" i="5"/>
  <c r="I30" i="5"/>
  <c r="F33" i="5"/>
  <c r="K32" i="5" l="1"/>
  <c r="N32" i="5" s="1"/>
  <c r="J35" i="5"/>
  <c r="L34" i="5"/>
  <c r="M34" i="5" s="1"/>
  <c r="I33" i="5"/>
  <c r="H33" i="5"/>
  <c r="K31" i="5"/>
  <c r="N31" i="5" s="1"/>
  <c r="F34" i="5"/>
  <c r="K30" i="5"/>
  <c r="F35" i="5" l="1"/>
  <c r="F36" i="5" s="1"/>
  <c r="K33" i="5"/>
  <c r="N33" i="5" s="1"/>
  <c r="J36" i="5"/>
  <c r="L35" i="5"/>
  <c r="M35" i="5" s="1"/>
  <c r="H34" i="5"/>
  <c r="I34" i="5"/>
  <c r="N30" i="5"/>
  <c r="E8" i="1"/>
  <c r="L23" i="1"/>
  <c r="L24" i="1" s="1"/>
  <c r="L25" i="1" s="1"/>
  <c r="L26" i="1" s="1"/>
  <c r="L27" i="1" s="1"/>
  <c r="M27" i="1" s="1"/>
  <c r="G24" i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J28" i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L47" i="1" s="1"/>
  <c r="I35" i="5" l="1"/>
  <c r="H35" i="5"/>
  <c r="F37" i="5"/>
  <c r="F38" i="5" s="1"/>
  <c r="H36" i="5"/>
  <c r="I36" i="5"/>
  <c r="K34" i="5"/>
  <c r="J37" i="5"/>
  <c r="L36" i="5"/>
  <c r="M36" i="5" s="1"/>
  <c r="M23" i="1"/>
  <c r="M26" i="1"/>
  <c r="M25" i="1"/>
  <c r="M24" i="1"/>
  <c r="M47" i="1"/>
  <c r="L38" i="1"/>
  <c r="M38" i="1" s="1"/>
  <c r="L30" i="1"/>
  <c r="M30" i="1" s="1"/>
  <c r="L45" i="1"/>
  <c r="M45" i="1" s="1"/>
  <c r="L37" i="1"/>
  <c r="M37" i="1" s="1"/>
  <c r="L44" i="1"/>
  <c r="M44" i="1" s="1"/>
  <c r="L36" i="1"/>
  <c r="M36" i="1" s="1"/>
  <c r="L28" i="1"/>
  <c r="M28" i="1" s="1"/>
  <c r="L43" i="1"/>
  <c r="M43" i="1" s="1"/>
  <c r="L35" i="1"/>
  <c r="M35" i="1" s="1"/>
  <c r="L39" i="1"/>
  <c r="M39" i="1" s="1"/>
  <c r="L31" i="1"/>
  <c r="M31" i="1" s="1"/>
  <c r="L46" i="1"/>
  <c r="M46" i="1" s="1"/>
  <c r="L42" i="1"/>
  <c r="M42" i="1" s="1"/>
  <c r="L34" i="1"/>
  <c r="M34" i="1" s="1"/>
  <c r="L41" i="1"/>
  <c r="M41" i="1" s="1"/>
  <c r="L33" i="1"/>
  <c r="M33" i="1" s="1"/>
  <c r="L40" i="1"/>
  <c r="M40" i="1" s="1"/>
  <c r="L32" i="1"/>
  <c r="M32" i="1" s="1"/>
  <c r="L29" i="1"/>
  <c r="M29" i="1" s="1"/>
  <c r="G45" i="1"/>
  <c r="F24" i="1"/>
  <c r="F25" i="1" s="1"/>
  <c r="F26" i="1" s="1"/>
  <c r="F27" i="1" s="1"/>
  <c r="E6" i="1"/>
  <c r="E23" i="1"/>
  <c r="E24" i="1" s="1"/>
  <c r="E25" i="1" s="1"/>
  <c r="K22" i="1"/>
  <c r="K35" i="5" l="1"/>
  <c r="N35" i="5" s="1"/>
  <c r="H37" i="5"/>
  <c r="I37" i="5"/>
  <c r="I38" i="5"/>
  <c r="H38" i="5"/>
  <c r="F39" i="5"/>
  <c r="K36" i="5"/>
  <c r="N36" i="5" s="1"/>
  <c r="N34" i="5"/>
  <c r="J38" i="5"/>
  <c r="L37" i="5"/>
  <c r="M37" i="5" s="1"/>
  <c r="N22" i="1"/>
  <c r="H24" i="1"/>
  <c r="H23" i="1"/>
  <c r="K23" i="1" s="1"/>
  <c r="G46" i="1"/>
  <c r="H25" i="1"/>
  <c r="I24" i="1"/>
  <c r="E26" i="1"/>
  <c r="F40" i="5" l="1"/>
  <c r="H39" i="5"/>
  <c r="I39" i="5"/>
  <c r="K37" i="5"/>
  <c r="J39" i="5"/>
  <c r="L38" i="5"/>
  <c r="K38" i="5" s="1"/>
  <c r="N38" i="5" s="1"/>
  <c r="N23" i="1"/>
  <c r="K24" i="1"/>
  <c r="G47" i="1"/>
  <c r="H26" i="1"/>
  <c r="I25" i="1"/>
  <c r="K25" i="1" s="1"/>
  <c r="E27" i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H40" i="5" l="1"/>
  <c r="F41" i="5"/>
  <c r="F42" i="5" s="1"/>
  <c r="I40" i="5"/>
  <c r="M38" i="5"/>
  <c r="N37" i="5"/>
  <c r="J40" i="5"/>
  <c r="L39" i="5"/>
  <c r="M39" i="5" s="1"/>
  <c r="N24" i="1"/>
  <c r="H27" i="1"/>
  <c r="N25" i="1"/>
  <c r="I42" i="5" l="1"/>
  <c r="H42" i="5"/>
  <c r="F43" i="5"/>
  <c r="H41" i="5"/>
  <c r="I41" i="5"/>
  <c r="K39" i="5"/>
  <c r="N39" i="5" s="1"/>
  <c r="J41" i="5"/>
  <c r="L40" i="5"/>
  <c r="M40" i="5" s="1"/>
  <c r="F28" i="1"/>
  <c r="F29" i="1" s="1"/>
  <c r="K40" i="5" l="1"/>
  <c r="N40" i="5" s="1"/>
  <c r="H43" i="5"/>
  <c r="I43" i="5"/>
  <c r="F44" i="5"/>
  <c r="L41" i="5"/>
  <c r="M41" i="5" s="1"/>
  <c r="J42" i="5"/>
  <c r="I28" i="1"/>
  <c r="H28" i="1"/>
  <c r="I29" i="1"/>
  <c r="H29" i="1"/>
  <c r="F30" i="1"/>
  <c r="H44" i="5" l="1"/>
  <c r="I44" i="5"/>
  <c r="F45" i="5"/>
  <c r="J43" i="5"/>
  <c r="L42" i="5"/>
  <c r="K42" i="5" s="1"/>
  <c r="N42" i="5" s="1"/>
  <c r="K41" i="5"/>
  <c r="K28" i="1"/>
  <c r="N28" i="1" s="1"/>
  <c r="K29" i="1"/>
  <c r="N29" i="1" s="1"/>
  <c r="H30" i="1"/>
  <c r="I30" i="1"/>
  <c r="F31" i="1"/>
  <c r="H45" i="5" l="1"/>
  <c r="I45" i="5"/>
  <c r="F46" i="5"/>
  <c r="M42" i="5"/>
  <c r="N41" i="5"/>
  <c r="J44" i="5"/>
  <c r="L43" i="5"/>
  <c r="M43" i="5" s="1"/>
  <c r="K30" i="1"/>
  <c r="N30" i="1" s="1"/>
  <c r="F32" i="1"/>
  <c r="F33" i="1" s="1"/>
  <c r="F34" i="1" s="1"/>
  <c r="H31" i="1"/>
  <c r="I31" i="1"/>
  <c r="I46" i="5" l="1"/>
  <c r="H46" i="5"/>
  <c r="F47" i="5"/>
  <c r="K43" i="5"/>
  <c r="N43" i="5" s="1"/>
  <c r="J45" i="5"/>
  <c r="L44" i="5"/>
  <c r="M44" i="5" s="1"/>
  <c r="K31" i="1"/>
  <c r="N31" i="1" s="1"/>
  <c r="I34" i="1"/>
  <c r="H34" i="1"/>
  <c r="I33" i="1"/>
  <c r="H33" i="1"/>
  <c r="H32" i="1"/>
  <c r="I32" i="1"/>
  <c r="F35" i="1"/>
  <c r="K44" i="5" l="1"/>
  <c r="N44" i="5" s="1"/>
  <c r="H47" i="5"/>
  <c r="I47" i="5"/>
  <c r="J46" i="5"/>
  <c r="L45" i="5"/>
  <c r="M45" i="5" s="1"/>
  <c r="K34" i="1"/>
  <c r="N34" i="1" s="1"/>
  <c r="K33" i="1"/>
  <c r="N33" i="1" s="1"/>
  <c r="K32" i="1"/>
  <c r="N32" i="1" s="1"/>
  <c r="I35" i="1"/>
  <c r="H35" i="1"/>
  <c r="F36" i="1"/>
  <c r="K45" i="5" l="1"/>
  <c r="N45" i="5" s="1"/>
  <c r="J47" i="5"/>
  <c r="L46" i="5"/>
  <c r="M46" i="5" s="1"/>
  <c r="K35" i="1"/>
  <c r="N35" i="1" s="1"/>
  <c r="I36" i="1"/>
  <c r="H36" i="1"/>
  <c r="F37" i="1"/>
  <c r="I26" i="1"/>
  <c r="K26" i="1" s="1"/>
  <c r="I27" i="1"/>
  <c r="K27" i="1" s="1"/>
  <c r="K46" i="5" l="1"/>
  <c r="N46" i="5" s="1"/>
  <c r="L47" i="5"/>
  <c r="M47" i="5" s="1"/>
  <c r="K36" i="1"/>
  <c r="F38" i="1"/>
  <c r="F39" i="1" s="1"/>
  <c r="H37" i="1"/>
  <c r="I37" i="1"/>
  <c r="N26" i="1"/>
  <c r="K47" i="5" l="1"/>
  <c r="N47" i="5" s="1"/>
  <c r="N20" i="5" s="1"/>
  <c r="N36" i="1"/>
  <c r="K37" i="1"/>
  <c r="H39" i="1"/>
  <c r="I39" i="1"/>
  <c r="H38" i="1"/>
  <c r="I38" i="1"/>
  <c r="F40" i="1"/>
  <c r="N27" i="1"/>
  <c r="K19" i="5"/>
  <c r="K20" i="5"/>
  <c r="N37" i="1" l="1"/>
  <c r="K39" i="1"/>
  <c r="N39" i="1" s="1"/>
  <c r="K38" i="1"/>
  <c r="I40" i="1"/>
  <c r="H40" i="1"/>
  <c r="F41" i="1"/>
  <c r="N38" i="1" l="1"/>
  <c r="K40" i="1"/>
  <c r="F42" i="1"/>
  <c r="F43" i="1" s="1"/>
  <c r="I41" i="1"/>
  <c r="H41" i="1"/>
  <c r="N40" i="1" l="1"/>
  <c r="K41" i="1"/>
  <c r="F44" i="1"/>
  <c r="F45" i="1" s="1"/>
  <c r="I43" i="1"/>
  <c r="H43" i="1"/>
  <c r="I42" i="1"/>
  <c r="H42" i="1"/>
  <c r="K43" i="1" l="1"/>
  <c r="N43" i="1" s="1"/>
  <c r="N41" i="1"/>
  <c r="K42" i="1"/>
  <c r="I45" i="1"/>
  <c r="H45" i="1"/>
  <c r="I44" i="1"/>
  <c r="H44" i="1"/>
  <c r="F46" i="1"/>
  <c r="N42" i="1" l="1"/>
  <c r="K45" i="1"/>
  <c r="N45" i="1" s="1"/>
  <c r="K44" i="1"/>
  <c r="H46" i="1"/>
  <c r="I46" i="1"/>
  <c r="F47" i="1"/>
  <c r="K46" i="1" l="1"/>
  <c r="N44" i="1"/>
  <c r="H47" i="1"/>
  <c r="I47" i="1"/>
  <c r="K47" i="1" l="1"/>
  <c r="N46" i="1"/>
  <c r="K19" i="1"/>
  <c r="K20" i="1"/>
  <c r="N47" i="1" l="1"/>
  <c r="N20" i="1" s="1"/>
</calcChain>
</file>

<file path=xl/sharedStrings.xml><?xml version="1.0" encoding="utf-8"?>
<sst xmlns="http://schemas.openxmlformats.org/spreadsheetml/2006/main" count="81" uniqueCount="38">
  <si>
    <t>AÑO</t>
  </si>
  <si>
    <t>FLUJO DE CAJA</t>
  </si>
  <si>
    <t>Ahorro</t>
  </si>
  <si>
    <t>€/MWh</t>
  </si>
  <si>
    <t>Tasa retorno</t>
  </si>
  <si>
    <t>VAN</t>
  </si>
  <si>
    <t>Subvención</t>
  </si>
  <si>
    <t>años</t>
  </si>
  <si>
    <t>Gasto Mtto.</t>
  </si>
  <si>
    <t>TIR</t>
  </si>
  <si>
    <t>Ahorro autoconsumo</t>
  </si>
  <si>
    <t>Ingresos netos exportación</t>
  </si>
  <si>
    <t>Producción (MWh)</t>
  </si>
  <si>
    <t>autoconsumo</t>
  </si>
  <si>
    <t xml:space="preserve">Ingresos </t>
  </si>
  <si>
    <t>exportación</t>
  </si>
  <si>
    <t>Ratio exportación/total</t>
  </si>
  <si>
    <t>Reducción producción anual</t>
  </si>
  <si>
    <t>Amortización</t>
  </si>
  <si>
    <t>IPC anual - estimado</t>
  </si>
  <si>
    <t>Producción inicial</t>
  </si>
  <si>
    <t>Tras ampliación</t>
  </si>
  <si>
    <t>Sin ampliación</t>
  </si>
  <si>
    <t>Gasto Mtto. D3</t>
  </si>
  <si>
    <t>Celda final calculo VAN/TIR</t>
  </si>
  <si>
    <t>Celda final calculo mtto.</t>
  </si>
  <si>
    <t>Importe licitación obra</t>
  </si>
  <si>
    <t>Baja oferta obra</t>
  </si>
  <si>
    <t>Ejemplo de como rellenar la oferta</t>
  </si>
  <si>
    <t>Oferta económica obra</t>
  </si>
  <si>
    <t>Celda final calculo mtto. D3</t>
  </si>
  <si>
    <t>Con actualización IPC</t>
  </si>
  <si>
    <t>Gasto Mtto. incremental</t>
  </si>
  <si>
    <t>Comprobación</t>
  </si>
  <si>
    <t>Termino A de la oferta económica</t>
  </si>
  <si>
    <t>Oferta económica mantenimiento</t>
  </si>
  <si>
    <t>Termino B de la oferta económica</t>
  </si>
  <si>
    <t>Criterios de valoración OBJETIVA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</si>
</sst>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  <numFmt numFmtId="165" formatCode="0.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3">
    <xf numFmtId="0" fontId="0" fillId="0" borderId="0" xfId="0"/>
    <xf numFmtId="44" fontId="0" fillId="0" borderId="0" xfId="2" applyFont="1"/>
    <xf numFmtId="9" fontId="0" fillId="0" borderId="0" xfId="0" applyNumberFormat="1"/>
    <xf numFmtId="8" fontId="0" fillId="0" borderId="0" xfId="0" applyNumberFormat="1"/>
    <xf numFmtId="44" fontId="0" fillId="0" borderId="0" xfId="0" applyNumberFormat="1"/>
    <xf numFmtId="164" fontId="0" fillId="2" borderId="0" xfId="1" applyNumberFormat="1" applyFont="1" applyFill="1"/>
    <xf numFmtId="44" fontId="0" fillId="0" borderId="0" xfId="2" applyFont="1" applyFill="1"/>
    <xf numFmtId="165" fontId="0" fillId="0" borderId="0" xfId="0" applyNumberFormat="1"/>
    <xf numFmtId="164" fontId="0" fillId="0" borderId="0" xfId="1" applyNumberFormat="1" applyFont="1" applyFill="1"/>
    <xf numFmtId="0" fontId="2" fillId="0" borderId="1" xfId="0" applyFont="1" applyBorder="1"/>
    <xf numFmtId="0" fontId="0" fillId="0" borderId="1" xfId="0" applyBorder="1"/>
    <xf numFmtId="165" fontId="0" fillId="0" borderId="2" xfId="0" applyNumberFormat="1" applyBorder="1"/>
    <xf numFmtId="165" fontId="0" fillId="0" borderId="0" xfId="2" applyNumberFormat="1" applyFont="1" applyFill="1"/>
    <xf numFmtId="0" fontId="0" fillId="3" borderId="3" xfId="0" applyFill="1" applyBorder="1"/>
    <xf numFmtId="0" fontId="0" fillId="3" borderId="4" xfId="0" applyFill="1" applyBorder="1"/>
    <xf numFmtId="164" fontId="0" fillId="3" borderId="4" xfId="0" applyNumberFormat="1" applyFill="1" applyBorder="1"/>
    <xf numFmtId="164" fontId="0" fillId="3" borderId="4" xfId="1" applyNumberFormat="1" applyFont="1" applyFill="1" applyBorder="1"/>
    <xf numFmtId="44" fontId="0" fillId="3" borderId="4" xfId="2" applyFont="1" applyFill="1" applyBorder="1"/>
    <xf numFmtId="44" fontId="0" fillId="3" borderId="5" xfId="0" applyNumberFormat="1" applyFill="1" applyBorder="1"/>
    <xf numFmtId="0" fontId="0" fillId="3" borderId="6" xfId="0" applyFill="1" applyBorder="1"/>
    <xf numFmtId="0" fontId="0" fillId="3" borderId="0" xfId="0" applyFill="1"/>
    <xf numFmtId="164" fontId="0" fillId="3" borderId="0" xfId="0" applyNumberFormat="1" applyFill="1"/>
    <xf numFmtId="164" fontId="0" fillId="3" borderId="0" xfId="1" applyNumberFormat="1" applyFont="1" applyFill="1" applyBorder="1"/>
    <xf numFmtId="44" fontId="0" fillId="3" borderId="0" xfId="2" applyFont="1" applyFill="1" applyBorder="1"/>
    <xf numFmtId="44" fontId="0" fillId="3" borderId="7" xfId="0" applyNumberFormat="1" applyFill="1" applyBorder="1"/>
    <xf numFmtId="0" fontId="0" fillId="3" borderId="8" xfId="0" applyFill="1" applyBorder="1"/>
    <xf numFmtId="0" fontId="0" fillId="3" borderId="9" xfId="0" applyFill="1" applyBorder="1"/>
    <xf numFmtId="164" fontId="0" fillId="3" borderId="9" xfId="0" applyNumberFormat="1" applyFill="1" applyBorder="1"/>
    <xf numFmtId="164" fontId="0" fillId="3" borderId="9" xfId="1" applyNumberFormat="1" applyFont="1" applyFill="1" applyBorder="1"/>
    <xf numFmtId="44" fontId="0" fillId="3" borderId="9" xfId="2" applyFont="1" applyFill="1" applyBorder="1"/>
    <xf numFmtId="44" fontId="0" fillId="3" borderId="10" xfId="0" applyNumberFormat="1" applyFill="1" applyBorder="1"/>
    <xf numFmtId="0" fontId="0" fillId="0" borderId="0" xfId="0" applyAlignment="1">
      <alignment wrapText="1"/>
    </xf>
    <xf numFmtId="8" fontId="2" fillId="4" borderId="2" xfId="0" applyNumberFormat="1" applyFont="1" applyFill="1" applyBorder="1"/>
  </cellXfs>
  <cellStyles count="3">
    <cellStyle name="Millares" xfId="1" builtinId="3"/>
    <cellStyle name="Moneda" xfId="2" builtinId="4"/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245C5-64E4-434E-AD0E-F3E07FAFA44F}">
  <dimension ref="A1:O48"/>
  <sheetViews>
    <sheetView tabSelected="1" workbookViewId="0">
      <selection activeCell="D1" sqref="D1"/>
    </sheetView>
  </sheetViews>
  <sheetFormatPr baseColWidth="10" defaultRowHeight="15" x14ac:dyDescent="0.25"/>
  <cols>
    <col min="4" max="4" width="30.85546875" bestFit="1" customWidth="1"/>
    <col min="5" max="5" width="15.5703125" bestFit="1" customWidth="1"/>
    <col min="6" max="6" width="16.85546875" bestFit="1" customWidth="1"/>
    <col min="7" max="10" width="16.85546875" customWidth="1"/>
    <col min="11" max="11" width="20.140625" bestFit="1" customWidth="1"/>
    <col min="12" max="14" width="13.5703125" customWidth="1"/>
  </cols>
  <sheetData>
    <row r="1" spans="1:10" x14ac:dyDescent="0.25">
      <c r="A1" t="s">
        <v>37</v>
      </c>
    </row>
    <row r="4" spans="1:10" x14ac:dyDescent="0.25">
      <c r="D4" t="s">
        <v>10</v>
      </c>
      <c r="E4">
        <v>90</v>
      </c>
      <c r="F4" t="s">
        <v>3</v>
      </c>
    </row>
    <row r="5" spans="1:10" x14ac:dyDescent="0.25">
      <c r="D5" t="s">
        <v>11</v>
      </c>
      <c r="E5">
        <v>20</v>
      </c>
      <c r="F5" t="s">
        <v>3</v>
      </c>
    </row>
    <row r="6" spans="1:10" x14ac:dyDescent="0.25">
      <c r="D6" t="s">
        <v>16</v>
      </c>
      <c r="E6">
        <f>+ROUND(188/(988+188),2)</f>
        <v>0.16</v>
      </c>
    </row>
    <row r="7" spans="1:10" x14ac:dyDescent="0.25">
      <c r="D7" t="s">
        <v>26</v>
      </c>
      <c r="E7" s="6">
        <v>1229697.51</v>
      </c>
    </row>
    <row r="8" spans="1:10" x14ac:dyDescent="0.25">
      <c r="D8" t="s">
        <v>27</v>
      </c>
      <c r="E8" s="12">
        <f>1-E9/E7</f>
        <v>0.10547106824669428</v>
      </c>
    </row>
    <row r="9" spans="1:10" x14ac:dyDescent="0.25">
      <c r="D9" t="s">
        <v>29</v>
      </c>
      <c r="E9" s="6">
        <v>1100000</v>
      </c>
      <c r="F9" t="s">
        <v>34</v>
      </c>
    </row>
    <row r="10" spans="1:10" x14ac:dyDescent="0.25">
      <c r="D10" t="s">
        <v>35</v>
      </c>
      <c r="E10" s="6">
        <v>60000</v>
      </c>
      <c r="F10" t="s">
        <v>36</v>
      </c>
    </row>
    <row r="11" spans="1:10" x14ac:dyDescent="0.25">
      <c r="D11" t="s">
        <v>6</v>
      </c>
      <c r="E11" s="2">
        <v>0.65</v>
      </c>
    </row>
    <row r="12" spans="1:10" x14ac:dyDescent="0.25">
      <c r="D12" t="s">
        <v>4</v>
      </c>
      <c r="E12" s="2">
        <v>0.04</v>
      </c>
    </row>
    <row r="13" spans="1:10" x14ac:dyDescent="0.25">
      <c r="D13" t="s">
        <v>19</v>
      </c>
      <c r="E13" s="7">
        <v>3.2000000000000001E-2</v>
      </c>
    </row>
    <row r="14" spans="1:10" x14ac:dyDescent="0.25">
      <c r="D14" t="s">
        <v>17</v>
      </c>
      <c r="E14" s="2">
        <v>0.01</v>
      </c>
      <c r="J14" s="4"/>
    </row>
    <row r="15" spans="1:10" x14ac:dyDescent="0.25">
      <c r="D15" t="s">
        <v>18</v>
      </c>
      <c r="E15">
        <v>25</v>
      </c>
      <c r="F15" t="s">
        <v>7</v>
      </c>
      <c r="J15" s="4"/>
    </row>
    <row r="16" spans="1:10" x14ac:dyDescent="0.25">
      <c r="D16" t="s">
        <v>24</v>
      </c>
      <c r="E16" t="str">
        <f>"K"&amp;(E15+25)</f>
        <v>K50</v>
      </c>
    </row>
    <row r="17" spans="4:15" x14ac:dyDescent="0.25">
      <c r="D17" t="s">
        <v>25</v>
      </c>
      <c r="E17" t="str">
        <f>"M"&amp;(E15+25)</f>
        <v>M50</v>
      </c>
    </row>
    <row r="18" spans="4:15" ht="15.75" thickBot="1" x14ac:dyDescent="0.3">
      <c r="D18" t="s">
        <v>30</v>
      </c>
      <c r="E18" t="str">
        <f>"K"&amp;(E15+25)</f>
        <v>K50</v>
      </c>
      <c r="N18" t="s">
        <v>5</v>
      </c>
    </row>
    <row r="19" spans="4:15" ht="15.75" thickBot="1" x14ac:dyDescent="0.3">
      <c r="H19" t="s">
        <v>21</v>
      </c>
      <c r="J19" s="10" t="s">
        <v>9</v>
      </c>
      <c r="K19" s="11" t="e">
        <f ca="1">IRR(K22:INDIRECT(E16))</f>
        <v>#VALUE!</v>
      </c>
      <c r="N19" t="s">
        <v>33</v>
      </c>
    </row>
    <row r="20" spans="4:15" ht="15.75" thickBot="1" x14ac:dyDescent="0.3">
      <c r="F20" t="s">
        <v>21</v>
      </c>
      <c r="G20" t="s">
        <v>22</v>
      </c>
      <c r="H20" t="s">
        <v>2</v>
      </c>
      <c r="I20" t="s">
        <v>14</v>
      </c>
      <c r="J20" s="9" t="s">
        <v>5</v>
      </c>
      <c r="K20" s="32" t="e">
        <f ca="1">NPV($E$12,K22:INDIRECT(E16))</f>
        <v>#DIV/0!</v>
      </c>
      <c r="N20" s="3" t="e">
        <f>NPV(E12,N22:N47)</f>
        <v>#DIV/0!</v>
      </c>
    </row>
    <row r="21" spans="4:15" ht="30" x14ac:dyDescent="0.25">
      <c r="E21" t="s">
        <v>0</v>
      </c>
      <c r="F21" t="s">
        <v>12</v>
      </c>
      <c r="G21" t="s">
        <v>20</v>
      </c>
      <c r="H21" t="s">
        <v>13</v>
      </c>
      <c r="I21" t="s">
        <v>15</v>
      </c>
      <c r="J21" t="s">
        <v>8</v>
      </c>
      <c r="K21" t="s">
        <v>1</v>
      </c>
      <c r="L21" s="31" t="s">
        <v>23</v>
      </c>
      <c r="M21" s="31" t="s">
        <v>32</v>
      </c>
    </row>
    <row r="22" spans="4:15" x14ac:dyDescent="0.25">
      <c r="E22">
        <v>0</v>
      </c>
      <c r="F22" s="8"/>
      <c r="G22" s="8"/>
      <c r="H22" s="8"/>
      <c r="I22" s="8"/>
      <c r="J22" s="6"/>
      <c r="K22" s="1">
        <f>-E9*(1-E11)</f>
        <v>-385000</v>
      </c>
      <c r="L22" s="6"/>
      <c r="N22" s="4">
        <f t="shared" ref="N22:N47" si="0">K22</f>
        <v>-385000</v>
      </c>
      <c r="O22" s="4"/>
    </row>
    <row r="23" spans="4:15" x14ac:dyDescent="0.25">
      <c r="E23">
        <f>1+E22</f>
        <v>1</v>
      </c>
      <c r="F23" s="5"/>
      <c r="G23" s="8">
        <v>540</v>
      </c>
      <c r="H23" s="6">
        <f>$E$4*(F23-G23)*(1-$E$6)</f>
        <v>-40824</v>
      </c>
      <c r="I23" s="6">
        <v>0</v>
      </c>
      <c r="J23" s="6">
        <f>E10*0.5/4.5</f>
        <v>6666.666666666667</v>
      </c>
      <c r="K23" s="1">
        <f t="shared" ref="K23:K47" si="1">H23+I23-J23+L23</f>
        <v>-41490.666666666664</v>
      </c>
      <c r="L23" s="6">
        <f>AVERAGE(J23:J27)/2</f>
        <v>6000.0000000000009</v>
      </c>
      <c r="M23" s="4">
        <f t="shared" ref="M23:M47" si="2">J23-L23</f>
        <v>666.66666666666606</v>
      </c>
      <c r="N23" s="4">
        <f t="shared" si="0"/>
        <v>-41490.666666666664</v>
      </c>
      <c r="O23" s="4"/>
    </row>
    <row r="24" spans="4:15" x14ac:dyDescent="0.25">
      <c r="E24">
        <f t="shared" ref="E24:E47" si="3">1+E23</f>
        <v>2</v>
      </c>
      <c r="F24" s="5"/>
      <c r="G24" s="8">
        <f>G23*(1-$E$14)</f>
        <v>534.6</v>
      </c>
      <c r="H24" s="6">
        <f t="shared" ref="H24:H27" si="4">$E$4*(F24-G24)*(1-$E$6)</f>
        <v>-40415.760000000002</v>
      </c>
      <c r="I24" s="6">
        <f>F24*$E$5*$E$6</f>
        <v>0</v>
      </c>
      <c r="J24" s="6">
        <f>E$10/4.5</f>
        <v>13333.333333333334</v>
      </c>
      <c r="K24" s="1">
        <f t="shared" si="1"/>
        <v>-47749.093333333338</v>
      </c>
      <c r="L24" s="6">
        <f>L23</f>
        <v>6000.0000000000009</v>
      </c>
      <c r="M24" s="4">
        <f t="shared" si="2"/>
        <v>7333.333333333333</v>
      </c>
      <c r="N24" s="4">
        <f t="shared" si="0"/>
        <v>-47749.093333333338</v>
      </c>
      <c r="O24" s="4"/>
    </row>
    <row r="25" spans="4:15" x14ac:dyDescent="0.25">
      <c r="E25">
        <f t="shared" si="3"/>
        <v>3</v>
      </c>
      <c r="F25" s="5"/>
      <c r="G25" s="8">
        <f t="shared" ref="G25:G47" si="5">G24*(1-$E$14)</f>
        <v>529.25400000000002</v>
      </c>
      <c r="H25" s="6">
        <f t="shared" si="4"/>
        <v>-40011.602399999996</v>
      </c>
      <c r="I25" s="6">
        <f>F25*$E$5*$E$6</f>
        <v>0</v>
      </c>
      <c r="J25" s="6">
        <f>E$10/4.5</f>
        <v>13333.333333333334</v>
      </c>
      <c r="K25" s="1">
        <f t="shared" si="1"/>
        <v>-47344.935733333332</v>
      </c>
      <c r="L25" s="6">
        <f t="shared" ref="L25:L27" si="6">L24</f>
        <v>6000.0000000000009</v>
      </c>
      <c r="M25" s="4">
        <f t="shared" si="2"/>
        <v>7333.333333333333</v>
      </c>
      <c r="N25" s="4">
        <f t="shared" si="0"/>
        <v>-47344.935733333332</v>
      </c>
      <c r="O25" s="4"/>
    </row>
    <row r="26" spans="4:15" x14ac:dyDescent="0.25">
      <c r="E26">
        <f t="shared" si="3"/>
        <v>4</v>
      </c>
      <c r="F26" s="5"/>
      <c r="G26" s="8">
        <f t="shared" si="5"/>
        <v>523.96145999999999</v>
      </c>
      <c r="H26" s="6">
        <f t="shared" si="4"/>
        <v>-39611.486376000001</v>
      </c>
      <c r="I26" s="6">
        <f>F26*$E$5*$E$6</f>
        <v>0</v>
      </c>
      <c r="J26" s="6">
        <f>E$10/4.5</f>
        <v>13333.333333333334</v>
      </c>
      <c r="K26" s="1">
        <f t="shared" si="1"/>
        <v>-46944.819709333337</v>
      </c>
      <c r="L26" s="6">
        <f t="shared" si="6"/>
        <v>6000.0000000000009</v>
      </c>
      <c r="M26" s="4">
        <f t="shared" si="2"/>
        <v>7333.333333333333</v>
      </c>
      <c r="N26" s="4">
        <f t="shared" si="0"/>
        <v>-46944.819709333337</v>
      </c>
      <c r="O26" s="4"/>
    </row>
    <row r="27" spans="4:15" x14ac:dyDescent="0.25">
      <c r="E27">
        <f t="shared" si="3"/>
        <v>5</v>
      </c>
      <c r="F27" s="5"/>
      <c r="G27" s="8">
        <f t="shared" si="5"/>
        <v>518.72184540000001</v>
      </c>
      <c r="H27" s="6">
        <f t="shared" si="4"/>
        <v>-39215.371512239995</v>
      </c>
      <c r="I27" s="6">
        <f>F27*$E$5*$E$6</f>
        <v>0</v>
      </c>
      <c r="J27" s="6">
        <f>E$10/4.5</f>
        <v>13333.333333333334</v>
      </c>
      <c r="K27" s="1">
        <f t="shared" si="1"/>
        <v>-46548.704845573331</v>
      </c>
      <c r="L27" s="6">
        <f t="shared" si="6"/>
        <v>6000.0000000000009</v>
      </c>
      <c r="M27" s="4">
        <f t="shared" si="2"/>
        <v>7333.333333333333</v>
      </c>
      <c r="N27" s="4">
        <f t="shared" si="0"/>
        <v>-46548.704845573331</v>
      </c>
      <c r="O27" s="4"/>
    </row>
    <row r="28" spans="4:15" x14ac:dyDescent="0.25">
      <c r="D28" s="13" t="s">
        <v>31</v>
      </c>
      <c r="E28" s="14">
        <f t="shared" si="3"/>
        <v>6</v>
      </c>
      <c r="F28" s="15" t="e">
        <f>AVERAGE(F24:F27)*(1-4*$E$14)</f>
        <v>#DIV/0!</v>
      </c>
      <c r="G28" s="16">
        <f t="shared" si="5"/>
        <v>513.534626946</v>
      </c>
      <c r="H28" s="17" t="e">
        <f t="shared" ref="H28:H47" si="7">$E$4*(F28-G28)*(1-$E$6)*(1+$E$13)</f>
        <v>#DIV/0!</v>
      </c>
      <c r="I28" s="17" t="e">
        <f t="shared" ref="I28:I47" si="8">F28*$E$5*$E$6*(1+$E$13)</f>
        <v>#DIV/0!</v>
      </c>
      <c r="J28" s="18">
        <f>AVERAGE(J24:J27)*(1+$E$13)</f>
        <v>13760.000000000002</v>
      </c>
      <c r="K28" s="1" t="e">
        <f t="shared" si="1"/>
        <v>#DIV/0!</v>
      </c>
      <c r="L28" s="6">
        <f t="shared" ref="L28:L47" si="9">J28/2</f>
        <v>6880.0000000000009</v>
      </c>
      <c r="M28" s="4">
        <f t="shared" si="2"/>
        <v>6880.0000000000009</v>
      </c>
      <c r="N28" s="4" t="e">
        <f t="shared" si="0"/>
        <v>#DIV/0!</v>
      </c>
      <c r="O28" s="4"/>
    </row>
    <row r="29" spans="4:15" x14ac:dyDescent="0.25">
      <c r="D29" s="19"/>
      <c r="E29" s="20">
        <f t="shared" si="3"/>
        <v>7</v>
      </c>
      <c r="F29" s="21" t="e">
        <f t="shared" ref="F29:F47" si="10">AVERAGE(F25:F28)*(1-4*$E$14)</f>
        <v>#DIV/0!</v>
      </c>
      <c r="G29" s="22">
        <f t="shared" si="5"/>
        <v>508.39928067654</v>
      </c>
      <c r="H29" s="23" t="e">
        <f t="shared" si="7"/>
        <v>#DIV/0!</v>
      </c>
      <c r="I29" s="23" t="e">
        <f t="shared" si="8"/>
        <v>#DIV/0!</v>
      </c>
      <c r="J29" s="24">
        <f>J28*(1+$E$13)</f>
        <v>14200.320000000002</v>
      </c>
      <c r="K29" s="1" t="e">
        <f t="shared" si="1"/>
        <v>#DIV/0!</v>
      </c>
      <c r="L29" s="6">
        <f t="shared" si="9"/>
        <v>7100.1600000000008</v>
      </c>
      <c r="M29" s="4">
        <f t="shared" si="2"/>
        <v>7100.1600000000008</v>
      </c>
      <c r="N29" s="4" t="e">
        <f t="shared" si="0"/>
        <v>#DIV/0!</v>
      </c>
      <c r="O29" s="4"/>
    </row>
    <row r="30" spans="4:15" x14ac:dyDescent="0.25">
      <c r="D30" s="19"/>
      <c r="E30" s="20">
        <f t="shared" si="3"/>
        <v>8</v>
      </c>
      <c r="F30" s="21" t="e">
        <f t="shared" si="10"/>
        <v>#DIV/0!</v>
      </c>
      <c r="G30" s="22">
        <f t="shared" si="5"/>
        <v>503.31528786977458</v>
      </c>
      <c r="H30" s="23" t="e">
        <f t="shared" si="7"/>
        <v>#DIV/0!</v>
      </c>
      <c r="I30" s="23" t="e">
        <f t="shared" si="8"/>
        <v>#DIV/0!</v>
      </c>
      <c r="J30" s="24">
        <f t="shared" ref="J30:J47" si="11">J29*(1+$E$13)</f>
        <v>14654.730240000003</v>
      </c>
      <c r="K30" s="1" t="e">
        <f t="shared" si="1"/>
        <v>#DIV/0!</v>
      </c>
      <c r="L30" s="6">
        <f t="shared" si="9"/>
        <v>7327.3651200000013</v>
      </c>
      <c r="M30" s="4">
        <f t="shared" si="2"/>
        <v>7327.3651200000013</v>
      </c>
      <c r="N30" s="4" t="e">
        <f t="shared" si="0"/>
        <v>#DIV/0!</v>
      </c>
      <c r="O30" s="4"/>
    </row>
    <row r="31" spans="4:15" x14ac:dyDescent="0.25">
      <c r="D31" s="19"/>
      <c r="E31" s="20">
        <f t="shared" si="3"/>
        <v>9</v>
      </c>
      <c r="F31" s="21" t="e">
        <f t="shared" si="10"/>
        <v>#DIV/0!</v>
      </c>
      <c r="G31" s="22">
        <f t="shared" si="5"/>
        <v>498.28213499107682</v>
      </c>
      <c r="H31" s="23" t="e">
        <f t="shared" si="7"/>
        <v>#DIV/0!</v>
      </c>
      <c r="I31" s="23" t="e">
        <f t="shared" si="8"/>
        <v>#DIV/0!</v>
      </c>
      <c r="J31" s="24">
        <f t="shared" si="11"/>
        <v>15123.681607680002</v>
      </c>
      <c r="K31" s="1" t="e">
        <f t="shared" si="1"/>
        <v>#DIV/0!</v>
      </c>
      <c r="L31" s="6">
        <f t="shared" si="9"/>
        <v>7561.8408038400012</v>
      </c>
      <c r="M31" s="4">
        <f t="shared" si="2"/>
        <v>7561.8408038400012</v>
      </c>
      <c r="N31" s="4" t="e">
        <f t="shared" si="0"/>
        <v>#DIV/0!</v>
      </c>
      <c r="O31" s="4"/>
    </row>
    <row r="32" spans="4:15" x14ac:dyDescent="0.25">
      <c r="D32" s="19"/>
      <c r="E32" s="20">
        <f t="shared" si="3"/>
        <v>10</v>
      </c>
      <c r="F32" s="21" t="e">
        <f t="shared" si="10"/>
        <v>#DIV/0!</v>
      </c>
      <c r="G32" s="22">
        <f t="shared" si="5"/>
        <v>493.29931364116607</v>
      </c>
      <c r="H32" s="23" t="e">
        <f t="shared" si="7"/>
        <v>#DIV/0!</v>
      </c>
      <c r="I32" s="23" t="e">
        <f t="shared" si="8"/>
        <v>#DIV/0!</v>
      </c>
      <c r="J32" s="24">
        <f t="shared" si="11"/>
        <v>15607.639419125762</v>
      </c>
      <c r="K32" s="1" t="e">
        <f t="shared" si="1"/>
        <v>#DIV/0!</v>
      </c>
      <c r="L32" s="6">
        <f t="shared" si="9"/>
        <v>7803.8197095628811</v>
      </c>
      <c r="M32" s="4">
        <f t="shared" si="2"/>
        <v>7803.8197095628811</v>
      </c>
      <c r="N32" s="4" t="e">
        <f t="shared" si="0"/>
        <v>#DIV/0!</v>
      </c>
      <c r="O32" s="4"/>
    </row>
    <row r="33" spans="4:15" x14ac:dyDescent="0.25">
      <c r="D33" s="19"/>
      <c r="E33" s="20">
        <f t="shared" si="3"/>
        <v>11</v>
      </c>
      <c r="F33" s="21" t="e">
        <f t="shared" si="10"/>
        <v>#DIV/0!</v>
      </c>
      <c r="G33" s="22">
        <f t="shared" si="5"/>
        <v>488.36632050475441</v>
      </c>
      <c r="H33" s="23" t="e">
        <f t="shared" si="7"/>
        <v>#DIV/0!</v>
      </c>
      <c r="I33" s="23" t="e">
        <f t="shared" si="8"/>
        <v>#DIV/0!</v>
      </c>
      <c r="J33" s="24">
        <f t="shared" si="11"/>
        <v>16107.083880537788</v>
      </c>
      <c r="K33" s="1" t="e">
        <f t="shared" si="1"/>
        <v>#DIV/0!</v>
      </c>
      <c r="L33" s="6">
        <f t="shared" si="9"/>
        <v>8053.541940268894</v>
      </c>
      <c r="M33" s="4">
        <f t="shared" si="2"/>
        <v>8053.541940268894</v>
      </c>
      <c r="N33" s="4" t="e">
        <f t="shared" si="0"/>
        <v>#DIV/0!</v>
      </c>
      <c r="O33" s="4"/>
    </row>
    <row r="34" spans="4:15" x14ac:dyDescent="0.25">
      <c r="D34" s="19"/>
      <c r="E34" s="20">
        <f t="shared" si="3"/>
        <v>12</v>
      </c>
      <c r="F34" s="21" t="e">
        <f t="shared" si="10"/>
        <v>#DIV/0!</v>
      </c>
      <c r="G34" s="22">
        <f t="shared" si="5"/>
        <v>483.48265729970689</v>
      </c>
      <c r="H34" s="23" t="e">
        <f t="shared" si="7"/>
        <v>#DIV/0!</v>
      </c>
      <c r="I34" s="23" t="e">
        <f t="shared" si="8"/>
        <v>#DIV/0!</v>
      </c>
      <c r="J34" s="24">
        <f t="shared" si="11"/>
        <v>16622.510564714998</v>
      </c>
      <c r="K34" s="1" t="e">
        <f t="shared" si="1"/>
        <v>#DIV/0!</v>
      </c>
      <c r="L34" s="6">
        <f t="shared" si="9"/>
        <v>8311.2552823574988</v>
      </c>
      <c r="M34" s="4">
        <f t="shared" si="2"/>
        <v>8311.2552823574988</v>
      </c>
      <c r="N34" s="4" t="e">
        <f t="shared" si="0"/>
        <v>#DIV/0!</v>
      </c>
      <c r="O34" s="4"/>
    </row>
    <row r="35" spans="4:15" x14ac:dyDescent="0.25">
      <c r="D35" s="19"/>
      <c r="E35" s="20">
        <f t="shared" si="3"/>
        <v>13</v>
      </c>
      <c r="F35" s="21" t="e">
        <f t="shared" si="10"/>
        <v>#DIV/0!</v>
      </c>
      <c r="G35" s="22">
        <f t="shared" si="5"/>
        <v>478.6478307267098</v>
      </c>
      <c r="H35" s="23" t="e">
        <f t="shared" si="7"/>
        <v>#DIV/0!</v>
      </c>
      <c r="I35" s="23" t="e">
        <f t="shared" si="8"/>
        <v>#DIV/0!</v>
      </c>
      <c r="J35" s="24">
        <f t="shared" si="11"/>
        <v>17154.430902785876</v>
      </c>
      <c r="K35" s="1" t="e">
        <f t="shared" si="1"/>
        <v>#DIV/0!</v>
      </c>
      <c r="L35" s="6">
        <f t="shared" si="9"/>
        <v>8577.2154513929381</v>
      </c>
      <c r="M35" s="4">
        <f t="shared" si="2"/>
        <v>8577.2154513929381</v>
      </c>
      <c r="N35" s="4" t="e">
        <f t="shared" si="0"/>
        <v>#DIV/0!</v>
      </c>
      <c r="O35" s="4"/>
    </row>
    <row r="36" spans="4:15" x14ac:dyDescent="0.25">
      <c r="D36" s="19"/>
      <c r="E36" s="20">
        <f t="shared" si="3"/>
        <v>14</v>
      </c>
      <c r="F36" s="21" t="e">
        <f t="shared" si="10"/>
        <v>#DIV/0!</v>
      </c>
      <c r="G36" s="22">
        <f t="shared" si="5"/>
        <v>473.86135241944271</v>
      </c>
      <c r="H36" s="23" t="e">
        <f t="shared" si="7"/>
        <v>#DIV/0!</v>
      </c>
      <c r="I36" s="23" t="e">
        <f t="shared" si="8"/>
        <v>#DIV/0!</v>
      </c>
      <c r="J36" s="24">
        <f t="shared" si="11"/>
        <v>17703.372691675024</v>
      </c>
      <c r="K36" s="1" t="e">
        <f t="shared" si="1"/>
        <v>#DIV/0!</v>
      </c>
      <c r="L36" s="6">
        <f t="shared" si="9"/>
        <v>8851.6863458375119</v>
      </c>
      <c r="M36" s="4">
        <f t="shared" si="2"/>
        <v>8851.6863458375119</v>
      </c>
      <c r="N36" s="4" t="e">
        <f t="shared" si="0"/>
        <v>#DIV/0!</v>
      </c>
      <c r="O36" s="4"/>
    </row>
    <row r="37" spans="4:15" x14ac:dyDescent="0.25">
      <c r="D37" s="19"/>
      <c r="E37" s="20">
        <f t="shared" si="3"/>
        <v>15</v>
      </c>
      <c r="F37" s="21" t="e">
        <f t="shared" si="10"/>
        <v>#DIV/0!</v>
      </c>
      <c r="G37" s="22">
        <f t="shared" si="5"/>
        <v>469.12273889524829</v>
      </c>
      <c r="H37" s="23" t="e">
        <f t="shared" si="7"/>
        <v>#DIV/0!</v>
      </c>
      <c r="I37" s="23" t="e">
        <f t="shared" si="8"/>
        <v>#DIV/0!</v>
      </c>
      <c r="J37" s="24">
        <f t="shared" si="11"/>
        <v>18269.880617808623</v>
      </c>
      <c r="K37" s="1" t="e">
        <f t="shared" si="1"/>
        <v>#DIV/0!</v>
      </c>
      <c r="L37" s="6">
        <f t="shared" si="9"/>
        <v>9134.9403089043117</v>
      </c>
      <c r="M37" s="4">
        <f t="shared" si="2"/>
        <v>9134.9403089043117</v>
      </c>
      <c r="N37" s="4" t="e">
        <f t="shared" si="0"/>
        <v>#DIV/0!</v>
      </c>
      <c r="O37" s="4"/>
    </row>
    <row r="38" spans="4:15" x14ac:dyDescent="0.25">
      <c r="D38" s="19"/>
      <c r="E38" s="20">
        <f t="shared" si="3"/>
        <v>16</v>
      </c>
      <c r="F38" s="21" t="e">
        <f t="shared" si="10"/>
        <v>#DIV/0!</v>
      </c>
      <c r="G38" s="22">
        <f t="shared" si="5"/>
        <v>464.43151150629581</v>
      </c>
      <c r="H38" s="23" t="e">
        <f t="shared" si="7"/>
        <v>#DIV/0!</v>
      </c>
      <c r="I38" s="23" t="e">
        <f t="shared" si="8"/>
        <v>#DIV/0!</v>
      </c>
      <c r="J38" s="24">
        <f t="shared" si="11"/>
        <v>18854.516797578501</v>
      </c>
      <c r="K38" s="1" t="e">
        <f t="shared" si="1"/>
        <v>#DIV/0!</v>
      </c>
      <c r="L38" s="6">
        <f t="shared" si="9"/>
        <v>9427.2583987892504</v>
      </c>
      <c r="M38" s="4">
        <f t="shared" si="2"/>
        <v>9427.2583987892504</v>
      </c>
      <c r="N38" s="4" t="e">
        <f t="shared" si="0"/>
        <v>#DIV/0!</v>
      </c>
      <c r="O38" s="4"/>
    </row>
    <row r="39" spans="4:15" x14ac:dyDescent="0.25">
      <c r="D39" s="19"/>
      <c r="E39" s="20">
        <f t="shared" si="3"/>
        <v>17</v>
      </c>
      <c r="F39" s="21" t="e">
        <f t="shared" si="10"/>
        <v>#DIV/0!</v>
      </c>
      <c r="G39" s="22">
        <f t="shared" si="5"/>
        <v>459.78719639123284</v>
      </c>
      <c r="H39" s="23" t="e">
        <f t="shared" si="7"/>
        <v>#DIV/0!</v>
      </c>
      <c r="I39" s="23" t="e">
        <f t="shared" si="8"/>
        <v>#DIV/0!</v>
      </c>
      <c r="J39" s="24">
        <f t="shared" si="11"/>
        <v>19457.861335101014</v>
      </c>
      <c r="K39" s="1" t="e">
        <f t="shared" si="1"/>
        <v>#DIV/0!</v>
      </c>
      <c r="L39" s="6">
        <f t="shared" si="9"/>
        <v>9728.9306675505068</v>
      </c>
      <c r="M39" s="4">
        <f t="shared" si="2"/>
        <v>9728.9306675505068</v>
      </c>
      <c r="N39" s="4" t="e">
        <f t="shared" si="0"/>
        <v>#DIV/0!</v>
      </c>
      <c r="O39" s="4"/>
    </row>
    <row r="40" spans="4:15" x14ac:dyDescent="0.25">
      <c r="D40" s="19"/>
      <c r="E40" s="20">
        <f t="shared" si="3"/>
        <v>18</v>
      </c>
      <c r="F40" s="21" t="e">
        <f t="shared" si="10"/>
        <v>#DIV/0!</v>
      </c>
      <c r="G40" s="22">
        <f t="shared" si="5"/>
        <v>455.18932442732051</v>
      </c>
      <c r="H40" s="23" t="e">
        <f t="shared" si="7"/>
        <v>#DIV/0!</v>
      </c>
      <c r="I40" s="23" t="e">
        <f t="shared" si="8"/>
        <v>#DIV/0!</v>
      </c>
      <c r="J40" s="24">
        <f t="shared" si="11"/>
        <v>20080.512897824246</v>
      </c>
      <c r="K40" s="1" t="e">
        <f t="shared" si="1"/>
        <v>#DIV/0!</v>
      </c>
      <c r="L40" s="6">
        <f t="shared" si="9"/>
        <v>10040.256448912123</v>
      </c>
      <c r="M40" s="4">
        <f t="shared" si="2"/>
        <v>10040.256448912123</v>
      </c>
      <c r="N40" s="4" t="e">
        <f t="shared" si="0"/>
        <v>#DIV/0!</v>
      </c>
      <c r="O40" s="4"/>
    </row>
    <row r="41" spans="4:15" x14ac:dyDescent="0.25">
      <c r="D41" s="19"/>
      <c r="E41" s="20">
        <f t="shared" si="3"/>
        <v>19</v>
      </c>
      <c r="F41" s="21" t="e">
        <f t="shared" si="10"/>
        <v>#DIV/0!</v>
      </c>
      <c r="G41" s="22">
        <f t="shared" si="5"/>
        <v>450.63743118304728</v>
      </c>
      <c r="H41" s="23" t="e">
        <f t="shared" si="7"/>
        <v>#DIV/0!</v>
      </c>
      <c r="I41" s="23" t="e">
        <f t="shared" si="8"/>
        <v>#DIV/0!</v>
      </c>
      <c r="J41" s="24">
        <f t="shared" si="11"/>
        <v>20723.089310554624</v>
      </c>
      <c r="K41" s="1" t="e">
        <f t="shared" si="1"/>
        <v>#DIV/0!</v>
      </c>
      <c r="L41" s="6">
        <f t="shared" si="9"/>
        <v>10361.544655277312</v>
      </c>
      <c r="M41" s="4">
        <f t="shared" si="2"/>
        <v>10361.544655277312</v>
      </c>
      <c r="N41" s="4" t="e">
        <f t="shared" si="0"/>
        <v>#DIV/0!</v>
      </c>
      <c r="O41" s="4"/>
    </row>
    <row r="42" spans="4:15" x14ac:dyDescent="0.25">
      <c r="D42" s="19"/>
      <c r="E42" s="20">
        <f t="shared" si="3"/>
        <v>20</v>
      </c>
      <c r="F42" s="21" t="e">
        <f t="shared" si="10"/>
        <v>#DIV/0!</v>
      </c>
      <c r="G42" s="22">
        <f t="shared" si="5"/>
        <v>446.1310568712168</v>
      </c>
      <c r="H42" s="23" t="e">
        <f t="shared" si="7"/>
        <v>#DIV/0!</v>
      </c>
      <c r="I42" s="23" t="e">
        <f t="shared" si="8"/>
        <v>#DIV/0!</v>
      </c>
      <c r="J42" s="24">
        <f t="shared" si="11"/>
        <v>21386.228168492373</v>
      </c>
      <c r="K42" s="1" t="e">
        <f t="shared" si="1"/>
        <v>#DIV/0!</v>
      </c>
      <c r="L42" s="6">
        <f t="shared" si="9"/>
        <v>10693.114084246186</v>
      </c>
      <c r="M42" s="4">
        <f t="shared" si="2"/>
        <v>10693.114084246186</v>
      </c>
      <c r="N42" s="4" t="e">
        <f t="shared" si="0"/>
        <v>#DIV/0!</v>
      </c>
      <c r="O42" s="4"/>
    </row>
    <row r="43" spans="4:15" x14ac:dyDescent="0.25">
      <c r="D43" s="19"/>
      <c r="E43" s="20">
        <f t="shared" si="3"/>
        <v>21</v>
      </c>
      <c r="F43" s="21" t="e">
        <f t="shared" si="10"/>
        <v>#DIV/0!</v>
      </c>
      <c r="G43" s="22">
        <f t="shared" si="5"/>
        <v>441.66974630250462</v>
      </c>
      <c r="H43" s="23" t="e">
        <f t="shared" si="7"/>
        <v>#DIV/0!</v>
      </c>
      <c r="I43" s="23" t="e">
        <f t="shared" si="8"/>
        <v>#DIV/0!</v>
      </c>
      <c r="J43" s="24">
        <f t="shared" si="11"/>
        <v>22070.587469884129</v>
      </c>
      <c r="K43" s="1" t="e">
        <f t="shared" si="1"/>
        <v>#DIV/0!</v>
      </c>
      <c r="L43" s="6">
        <f t="shared" si="9"/>
        <v>11035.293734942064</v>
      </c>
      <c r="M43" s="4">
        <f t="shared" si="2"/>
        <v>11035.293734942064</v>
      </c>
      <c r="N43" s="4" t="e">
        <f t="shared" si="0"/>
        <v>#DIV/0!</v>
      </c>
      <c r="O43" s="4"/>
    </row>
    <row r="44" spans="4:15" x14ac:dyDescent="0.25">
      <c r="D44" s="19"/>
      <c r="E44" s="20">
        <f t="shared" si="3"/>
        <v>22</v>
      </c>
      <c r="F44" s="21" t="e">
        <f t="shared" si="10"/>
        <v>#DIV/0!</v>
      </c>
      <c r="G44" s="22">
        <f t="shared" si="5"/>
        <v>437.25304883947956</v>
      </c>
      <c r="H44" s="23" t="e">
        <f t="shared" si="7"/>
        <v>#DIV/0!</v>
      </c>
      <c r="I44" s="23" t="e">
        <f t="shared" si="8"/>
        <v>#DIV/0!</v>
      </c>
      <c r="J44" s="24">
        <f t="shared" si="11"/>
        <v>22776.846268920421</v>
      </c>
      <c r="K44" s="1" t="e">
        <f t="shared" si="1"/>
        <v>#DIV/0!</v>
      </c>
      <c r="L44" s="6">
        <f t="shared" si="9"/>
        <v>11388.42313446021</v>
      </c>
      <c r="M44" s="4">
        <f t="shared" si="2"/>
        <v>11388.42313446021</v>
      </c>
      <c r="N44" s="4" t="e">
        <f t="shared" si="0"/>
        <v>#DIV/0!</v>
      </c>
      <c r="O44" s="4"/>
    </row>
    <row r="45" spans="4:15" x14ac:dyDescent="0.25">
      <c r="D45" s="19"/>
      <c r="E45" s="20">
        <f t="shared" si="3"/>
        <v>23</v>
      </c>
      <c r="F45" s="21" t="e">
        <f t="shared" si="10"/>
        <v>#DIV/0!</v>
      </c>
      <c r="G45" s="22">
        <f t="shared" si="5"/>
        <v>432.88051835108479</v>
      </c>
      <c r="H45" s="23" t="e">
        <f t="shared" si="7"/>
        <v>#DIV/0!</v>
      </c>
      <c r="I45" s="23" t="e">
        <f t="shared" si="8"/>
        <v>#DIV/0!</v>
      </c>
      <c r="J45" s="24">
        <f t="shared" si="11"/>
        <v>23505.705349525873</v>
      </c>
      <c r="K45" s="1" t="e">
        <f t="shared" si="1"/>
        <v>#DIV/0!</v>
      </c>
      <c r="L45" s="6">
        <f t="shared" si="9"/>
        <v>11752.852674762937</v>
      </c>
      <c r="M45" s="4">
        <f t="shared" si="2"/>
        <v>11752.852674762937</v>
      </c>
      <c r="N45" s="4" t="e">
        <f t="shared" si="0"/>
        <v>#DIV/0!</v>
      </c>
      <c r="O45" s="4"/>
    </row>
    <row r="46" spans="4:15" x14ac:dyDescent="0.25">
      <c r="D46" s="19"/>
      <c r="E46" s="20">
        <f t="shared" si="3"/>
        <v>24</v>
      </c>
      <c r="F46" s="21" t="e">
        <f t="shared" si="10"/>
        <v>#DIV/0!</v>
      </c>
      <c r="G46" s="22">
        <f t="shared" si="5"/>
        <v>428.55171316757395</v>
      </c>
      <c r="H46" s="23" t="e">
        <f t="shared" si="7"/>
        <v>#DIV/0!</v>
      </c>
      <c r="I46" s="23" t="e">
        <f t="shared" si="8"/>
        <v>#DIV/0!</v>
      </c>
      <c r="J46" s="24">
        <f t="shared" si="11"/>
        <v>24257.887920710702</v>
      </c>
      <c r="K46" s="1" t="e">
        <f t="shared" si="1"/>
        <v>#DIV/0!</v>
      </c>
      <c r="L46" s="6">
        <f t="shared" si="9"/>
        <v>12128.943960355351</v>
      </c>
      <c r="M46" s="4">
        <f t="shared" si="2"/>
        <v>12128.943960355351</v>
      </c>
      <c r="N46" s="4" t="e">
        <f t="shared" si="0"/>
        <v>#DIV/0!</v>
      </c>
      <c r="O46" s="4"/>
    </row>
    <row r="47" spans="4:15" x14ac:dyDescent="0.25">
      <c r="D47" s="25"/>
      <c r="E47" s="26">
        <f t="shared" si="3"/>
        <v>25</v>
      </c>
      <c r="F47" s="27" t="e">
        <f t="shared" si="10"/>
        <v>#DIV/0!</v>
      </c>
      <c r="G47" s="28">
        <f t="shared" si="5"/>
        <v>424.26619603589819</v>
      </c>
      <c r="H47" s="29" t="e">
        <f t="shared" si="7"/>
        <v>#DIV/0!</v>
      </c>
      <c r="I47" s="29" t="e">
        <f t="shared" si="8"/>
        <v>#DIV/0!</v>
      </c>
      <c r="J47" s="30">
        <f t="shared" si="11"/>
        <v>25034.140334173444</v>
      </c>
      <c r="K47" s="1" t="e">
        <f t="shared" si="1"/>
        <v>#DIV/0!</v>
      </c>
      <c r="L47" s="6">
        <f t="shared" si="9"/>
        <v>12517.070167086722</v>
      </c>
      <c r="M47" s="4">
        <f t="shared" si="2"/>
        <v>12517.070167086722</v>
      </c>
      <c r="N47" s="4" t="e">
        <f t="shared" si="0"/>
        <v>#DIV/0!</v>
      </c>
      <c r="O47" s="4"/>
    </row>
    <row r="48" spans="4:15" x14ac:dyDescent="0.25">
      <c r="O48" s="4"/>
    </row>
  </sheetData>
  <conditionalFormatting sqref="J22:J27">
    <cfRule type="expression" dxfId="3" priority="3">
      <formula>#REF!</formula>
    </cfRule>
  </conditionalFormatting>
  <conditionalFormatting sqref="K19">
    <cfRule type="cellIs" dxfId="2" priority="1" operator="lessThan">
      <formula>0.03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B2DC3-8CB5-40C7-9AAD-132C59B93EE1}">
  <dimension ref="A1:O48"/>
  <sheetViews>
    <sheetView workbookViewId="0">
      <selection activeCell="J14" sqref="J14"/>
    </sheetView>
  </sheetViews>
  <sheetFormatPr baseColWidth="10" defaultRowHeight="15" x14ac:dyDescent="0.25"/>
  <cols>
    <col min="4" max="4" width="30.85546875" bestFit="1" customWidth="1"/>
    <col min="5" max="5" width="15.5703125" bestFit="1" customWidth="1"/>
    <col min="6" max="6" width="16.85546875" bestFit="1" customWidth="1"/>
    <col min="7" max="10" width="16.85546875" customWidth="1"/>
    <col min="11" max="11" width="20.140625" bestFit="1" customWidth="1"/>
    <col min="12" max="14" width="13.5703125" customWidth="1"/>
  </cols>
  <sheetData>
    <row r="1" spans="1:10" x14ac:dyDescent="0.25">
      <c r="A1" t="s">
        <v>37</v>
      </c>
      <c r="D1" t="s">
        <v>28</v>
      </c>
    </row>
    <row r="4" spans="1:10" x14ac:dyDescent="0.25">
      <c r="D4" t="s">
        <v>10</v>
      </c>
      <c r="E4">
        <v>90</v>
      </c>
      <c r="F4" t="s">
        <v>3</v>
      </c>
    </row>
    <row r="5" spans="1:10" x14ac:dyDescent="0.25">
      <c r="D5" t="s">
        <v>11</v>
      </c>
      <c r="E5">
        <v>20</v>
      </c>
      <c r="F5" t="s">
        <v>3</v>
      </c>
    </row>
    <row r="6" spans="1:10" x14ac:dyDescent="0.25">
      <c r="D6" t="s">
        <v>16</v>
      </c>
      <c r="E6">
        <f>+ROUND(188/(988+188),2)</f>
        <v>0.16</v>
      </c>
    </row>
    <row r="7" spans="1:10" x14ac:dyDescent="0.25">
      <c r="D7" t="s">
        <v>26</v>
      </c>
      <c r="E7" s="6">
        <v>1229697.51</v>
      </c>
    </row>
    <row r="8" spans="1:10" x14ac:dyDescent="0.25">
      <c r="D8" t="s">
        <v>27</v>
      </c>
      <c r="E8" s="12">
        <f>1-E9/E7</f>
        <v>0.10547106824669428</v>
      </c>
    </row>
    <row r="9" spans="1:10" x14ac:dyDescent="0.25">
      <c r="D9" t="s">
        <v>29</v>
      </c>
      <c r="E9" s="6">
        <v>1100000</v>
      </c>
      <c r="F9" t="s">
        <v>34</v>
      </c>
    </row>
    <row r="10" spans="1:10" x14ac:dyDescent="0.25">
      <c r="D10" t="s">
        <v>35</v>
      </c>
      <c r="E10" s="6">
        <v>60000</v>
      </c>
      <c r="F10" t="s">
        <v>36</v>
      </c>
    </row>
    <row r="11" spans="1:10" x14ac:dyDescent="0.25">
      <c r="D11" t="s">
        <v>6</v>
      </c>
      <c r="E11" s="2">
        <v>0.65</v>
      </c>
    </row>
    <row r="12" spans="1:10" x14ac:dyDescent="0.25">
      <c r="D12" t="s">
        <v>4</v>
      </c>
      <c r="E12" s="2">
        <v>0.04</v>
      </c>
    </row>
    <row r="13" spans="1:10" x14ac:dyDescent="0.25">
      <c r="D13" t="s">
        <v>19</v>
      </c>
      <c r="E13" s="7">
        <v>3.2000000000000001E-2</v>
      </c>
    </row>
    <row r="14" spans="1:10" x14ac:dyDescent="0.25">
      <c r="D14" t="s">
        <v>17</v>
      </c>
      <c r="E14" s="2">
        <v>0.01</v>
      </c>
    </row>
    <row r="15" spans="1:10" x14ac:dyDescent="0.25">
      <c r="D15" t="s">
        <v>18</v>
      </c>
      <c r="E15">
        <v>25</v>
      </c>
      <c r="F15" t="s">
        <v>7</v>
      </c>
      <c r="J15" s="4"/>
    </row>
    <row r="16" spans="1:10" x14ac:dyDescent="0.25">
      <c r="D16" t="s">
        <v>24</v>
      </c>
      <c r="E16" t="str">
        <f>"K"&amp;(E15+25)</f>
        <v>K50</v>
      </c>
    </row>
    <row r="17" spans="4:15" x14ac:dyDescent="0.25">
      <c r="D17" t="s">
        <v>25</v>
      </c>
      <c r="E17" t="str">
        <f>"M"&amp;(E15+25)</f>
        <v>M50</v>
      </c>
    </row>
    <row r="18" spans="4:15" ht="15.75" thickBot="1" x14ac:dyDescent="0.3">
      <c r="D18" t="s">
        <v>30</v>
      </c>
      <c r="E18" t="str">
        <f>"K"&amp;(E15+25)</f>
        <v>K50</v>
      </c>
      <c r="N18" t="s">
        <v>5</v>
      </c>
    </row>
    <row r="19" spans="4:15" ht="15.75" thickBot="1" x14ac:dyDescent="0.3">
      <c r="H19" t="s">
        <v>21</v>
      </c>
      <c r="J19" s="10" t="s">
        <v>9</v>
      </c>
      <c r="K19" s="11">
        <f ca="1">IRR(K22:INDIRECT(E16))</f>
        <v>7.5037546631639973E-2</v>
      </c>
      <c r="N19" t="s">
        <v>33</v>
      </c>
    </row>
    <row r="20" spans="4:15" ht="15.75" thickBot="1" x14ac:dyDescent="0.3">
      <c r="F20" t="s">
        <v>21</v>
      </c>
      <c r="G20" t="s">
        <v>22</v>
      </c>
      <c r="H20" t="s">
        <v>2</v>
      </c>
      <c r="I20" t="s">
        <v>14</v>
      </c>
      <c r="J20" s="9" t="s">
        <v>5</v>
      </c>
      <c r="K20" s="32">
        <f ca="1">NPV($E$12,K22:INDIRECT(E16))</f>
        <v>139346.35943027606</v>
      </c>
      <c r="N20" s="3">
        <f>NPV(E12,N22:N47)</f>
        <v>139346.35943027606</v>
      </c>
    </row>
    <row r="21" spans="4:15" ht="30" x14ac:dyDescent="0.25">
      <c r="E21" t="s">
        <v>0</v>
      </c>
      <c r="F21" t="s">
        <v>12</v>
      </c>
      <c r="G21" t="s">
        <v>20</v>
      </c>
      <c r="H21" t="s">
        <v>13</v>
      </c>
      <c r="I21" t="s">
        <v>15</v>
      </c>
      <c r="J21" t="s">
        <v>8</v>
      </c>
      <c r="K21" t="s">
        <v>1</v>
      </c>
      <c r="L21" s="31" t="s">
        <v>23</v>
      </c>
      <c r="M21" s="31" t="s">
        <v>32</v>
      </c>
    </row>
    <row r="22" spans="4:15" x14ac:dyDescent="0.25">
      <c r="E22">
        <v>0</v>
      </c>
      <c r="F22" s="8"/>
      <c r="G22" s="8"/>
      <c r="H22" s="8"/>
      <c r="I22" s="8"/>
      <c r="J22" s="6"/>
      <c r="K22" s="1">
        <f>-E9*(1-E11)</f>
        <v>-385000</v>
      </c>
      <c r="L22" s="6"/>
      <c r="N22" s="4">
        <f t="shared" ref="N22:N47" si="0">K22</f>
        <v>-385000</v>
      </c>
      <c r="O22" s="4"/>
    </row>
    <row r="23" spans="4:15" x14ac:dyDescent="0.25">
      <c r="E23">
        <f>1+E22</f>
        <v>1</v>
      </c>
      <c r="F23" s="5">
        <v>540</v>
      </c>
      <c r="G23" s="8">
        <v>540</v>
      </c>
      <c r="H23" s="6">
        <f>$E$4*(F23-G23)*(1-$E$6)</f>
        <v>0</v>
      </c>
      <c r="I23" s="6">
        <v>0</v>
      </c>
      <c r="J23" s="6">
        <f>E10*0.5/4.5</f>
        <v>6666.666666666667</v>
      </c>
      <c r="K23" s="1">
        <f t="shared" ref="K23:K47" si="1">H23+I23-J23+L23</f>
        <v>-666.66666666666606</v>
      </c>
      <c r="L23" s="6">
        <f>AVERAGE(J23:J27)/2</f>
        <v>6000.0000000000009</v>
      </c>
      <c r="M23" s="4">
        <f t="shared" ref="M23:M47" si="2">J23-L23</f>
        <v>666.66666666666606</v>
      </c>
      <c r="N23" s="4">
        <f t="shared" si="0"/>
        <v>-666.66666666666606</v>
      </c>
      <c r="O23" s="4"/>
    </row>
    <row r="24" spans="4:15" x14ac:dyDescent="0.25">
      <c r="E24">
        <f t="shared" ref="E24:E47" si="3">1+E23</f>
        <v>2</v>
      </c>
      <c r="F24" s="5">
        <f>988+188</f>
        <v>1176</v>
      </c>
      <c r="G24" s="8">
        <f>G23*(1-$E$14)</f>
        <v>534.6</v>
      </c>
      <c r="H24" s="6">
        <f t="shared" ref="H24:H27" si="4">$E$4*(F24-G24)*(1-$E$6)</f>
        <v>48489.84</v>
      </c>
      <c r="I24" s="6">
        <f>F24*$E$5*$E$6</f>
        <v>3763.2000000000003</v>
      </c>
      <c r="J24" s="6">
        <f>E$10/4.5</f>
        <v>13333.333333333334</v>
      </c>
      <c r="K24" s="1">
        <f t="shared" si="1"/>
        <v>44919.706666666658</v>
      </c>
      <c r="L24" s="6">
        <f>L23</f>
        <v>6000.0000000000009</v>
      </c>
      <c r="M24" s="4">
        <f t="shared" si="2"/>
        <v>7333.333333333333</v>
      </c>
      <c r="N24" s="4">
        <f t="shared" si="0"/>
        <v>44919.706666666658</v>
      </c>
      <c r="O24" s="4"/>
    </row>
    <row r="25" spans="4:15" x14ac:dyDescent="0.25">
      <c r="E25">
        <f t="shared" si="3"/>
        <v>3</v>
      </c>
      <c r="F25" s="5">
        <f>+F24*(1-E14)</f>
        <v>1164.24</v>
      </c>
      <c r="G25" s="8">
        <f t="shared" ref="G25:G47" si="5">G24*(1-$E$14)</f>
        <v>529.25400000000002</v>
      </c>
      <c r="H25" s="6">
        <f t="shared" si="4"/>
        <v>48004.941599999998</v>
      </c>
      <c r="I25" s="6">
        <f>F25*$E$5*$E$6</f>
        <v>3725.5679999999998</v>
      </c>
      <c r="J25" s="6">
        <f>E$10/4.5</f>
        <v>13333.333333333334</v>
      </c>
      <c r="K25" s="1">
        <f t="shared" si="1"/>
        <v>44397.176266666662</v>
      </c>
      <c r="L25" s="6">
        <f t="shared" ref="L25:L27" si="6">L24</f>
        <v>6000.0000000000009</v>
      </c>
      <c r="M25" s="4">
        <f t="shared" si="2"/>
        <v>7333.333333333333</v>
      </c>
      <c r="N25" s="4">
        <f t="shared" si="0"/>
        <v>44397.176266666662</v>
      </c>
      <c r="O25" s="4"/>
    </row>
    <row r="26" spans="4:15" x14ac:dyDescent="0.25">
      <c r="E26">
        <f t="shared" si="3"/>
        <v>4</v>
      </c>
      <c r="F26" s="5">
        <f>F25*(1-E14)</f>
        <v>1152.5976000000001</v>
      </c>
      <c r="G26" s="8">
        <f t="shared" si="5"/>
        <v>523.96145999999999</v>
      </c>
      <c r="H26" s="6">
        <f t="shared" si="4"/>
        <v>47524.892184000004</v>
      </c>
      <c r="I26" s="6">
        <f>F26*$E$5*$E$6</f>
        <v>3688.3123200000005</v>
      </c>
      <c r="J26" s="6">
        <f>E$10/4.5</f>
        <v>13333.333333333334</v>
      </c>
      <c r="K26" s="1">
        <f t="shared" si="1"/>
        <v>43879.871170666665</v>
      </c>
      <c r="L26" s="6">
        <f t="shared" si="6"/>
        <v>6000.0000000000009</v>
      </c>
      <c r="M26" s="4">
        <f t="shared" si="2"/>
        <v>7333.333333333333</v>
      </c>
      <c r="N26" s="4">
        <f t="shared" si="0"/>
        <v>43879.871170666665</v>
      </c>
      <c r="O26" s="4"/>
    </row>
    <row r="27" spans="4:15" x14ac:dyDescent="0.25">
      <c r="E27">
        <f t="shared" si="3"/>
        <v>5</v>
      </c>
      <c r="F27" s="5">
        <f>F26*(1-E14)</f>
        <v>1141.0716240000002</v>
      </c>
      <c r="G27" s="8">
        <f t="shared" si="5"/>
        <v>518.72184540000001</v>
      </c>
      <c r="H27" s="6">
        <f t="shared" si="4"/>
        <v>47049.643262160011</v>
      </c>
      <c r="I27" s="6">
        <f>F27*$E$5*$E$6</f>
        <v>3651.4291968000007</v>
      </c>
      <c r="J27" s="6">
        <f>E$10/4.5</f>
        <v>13333.333333333334</v>
      </c>
      <c r="K27" s="1">
        <f t="shared" si="1"/>
        <v>43367.739125626678</v>
      </c>
      <c r="L27" s="6">
        <f t="shared" si="6"/>
        <v>6000.0000000000009</v>
      </c>
      <c r="M27" s="4">
        <f t="shared" si="2"/>
        <v>7333.333333333333</v>
      </c>
      <c r="N27" s="4">
        <f t="shared" si="0"/>
        <v>43367.739125626678</v>
      </c>
      <c r="O27" s="4"/>
    </row>
    <row r="28" spans="4:15" x14ac:dyDescent="0.25">
      <c r="D28" s="13" t="s">
        <v>31</v>
      </c>
      <c r="E28" s="14">
        <f t="shared" si="3"/>
        <v>6</v>
      </c>
      <c r="F28" s="15">
        <f>AVERAGE(F24:F27)*(1-4*$E$14)</f>
        <v>1112.1382137599999</v>
      </c>
      <c r="G28" s="16">
        <f t="shared" si="5"/>
        <v>513.534626946</v>
      </c>
      <c r="H28" s="17">
        <f t="shared" ref="H28:H47" si="7">$E$4*(F28-G28)*(1-$E$6)*(1+$E$13)</f>
        <v>46702.572960358819</v>
      </c>
      <c r="I28" s="17">
        <f t="shared" ref="I28:I47" si="8">F28*$E$5*$E$6*(1+$E$13)</f>
        <v>3672.7252371210234</v>
      </c>
      <c r="J28" s="18">
        <f>AVERAGE(J24:J27)*(1+$E$13)</f>
        <v>13760.000000000002</v>
      </c>
      <c r="K28" s="1">
        <f t="shared" si="1"/>
        <v>43495.298197479846</v>
      </c>
      <c r="L28" s="6">
        <f t="shared" ref="L28:L47" si="9">J28/2</f>
        <v>6880.0000000000009</v>
      </c>
      <c r="M28" s="4">
        <f t="shared" si="2"/>
        <v>6880.0000000000009</v>
      </c>
      <c r="N28" s="4">
        <f t="shared" si="0"/>
        <v>43495.298197479846</v>
      </c>
      <c r="O28" s="4"/>
    </row>
    <row r="29" spans="4:15" x14ac:dyDescent="0.25">
      <c r="D29" s="19"/>
      <c r="E29" s="20">
        <f t="shared" si="3"/>
        <v>7</v>
      </c>
      <c r="F29" s="21">
        <f t="shared" ref="F29:F47" si="10">AVERAGE(F25:F28)*(1-4*$E$14)</f>
        <v>1096.8113850623999</v>
      </c>
      <c r="G29" s="22">
        <f t="shared" si="5"/>
        <v>508.39928067654</v>
      </c>
      <c r="H29" s="23">
        <f t="shared" si="7"/>
        <v>45907.441654501279</v>
      </c>
      <c r="I29" s="23">
        <f t="shared" si="8"/>
        <v>3622.1099180300694</v>
      </c>
      <c r="J29" s="24">
        <f>J28*(1+$E$13)</f>
        <v>14200.320000000002</v>
      </c>
      <c r="K29" s="1">
        <f t="shared" si="1"/>
        <v>42429.391572531349</v>
      </c>
      <c r="L29" s="6">
        <f t="shared" si="9"/>
        <v>7100.1600000000008</v>
      </c>
      <c r="M29" s="4">
        <f t="shared" si="2"/>
        <v>7100.1600000000008</v>
      </c>
      <c r="N29" s="4">
        <f t="shared" si="0"/>
        <v>42429.391572531349</v>
      </c>
      <c r="O29" s="4"/>
    </row>
    <row r="30" spans="4:15" x14ac:dyDescent="0.25">
      <c r="D30" s="19"/>
      <c r="E30" s="20">
        <f t="shared" si="3"/>
        <v>8</v>
      </c>
      <c r="F30" s="21">
        <f t="shared" si="10"/>
        <v>1080.6285174773759</v>
      </c>
      <c r="G30" s="22">
        <f t="shared" si="5"/>
        <v>503.31528786977458</v>
      </c>
      <c r="H30" s="23">
        <f t="shared" si="7"/>
        <v>45041.516323401367</v>
      </c>
      <c r="I30" s="23">
        <f t="shared" si="8"/>
        <v>3568.6676161172859</v>
      </c>
      <c r="J30" s="24">
        <f t="shared" ref="J30:J47" si="11">J29*(1+$E$13)</f>
        <v>14654.730240000003</v>
      </c>
      <c r="K30" s="1">
        <f t="shared" si="1"/>
        <v>41282.818819518652</v>
      </c>
      <c r="L30" s="6">
        <f t="shared" si="9"/>
        <v>7327.3651200000013</v>
      </c>
      <c r="M30" s="4">
        <f t="shared" si="2"/>
        <v>7327.3651200000013</v>
      </c>
      <c r="N30" s="4">
        <f t="shared" si="0"/>
        <v>41282.818819518652</v>
      </c>
      <c r="O30" s="4"/>
    </row>
    <row r="31" spans="4:15" x14ac:dyDescent="0.25">
      <c r="D31" s="19"/>
      <c r="E31" s="20">
        <f t="shared" si="3"/>
        <v>9</v>
      </c>
      <c r="F31" s="21">
        <f t="shared" si="10"/>
        <v>1063.3559376719461</v>
      </c>
      <c r="G31" s="22">
        <f t="shared" si="5"/>
        <v>498.28213499107682</v>
      </c>
      <c r="H31" s="23">
        <f t="shared" si="7"/>
        <v>44086.606026119269</v>
      </c>
      <c r="I31" s="23">
        <f t="shared" si="8"/>
        <v>3511.6266485678348</v>
      </c>
      <c r="J31" s="24">
        <f t="shared" si="11"/>
        <v>15123.681607680002</v>
      </c>
      <c r="K31" s="1">
        <f t="shared" si="1"/>
        <v>40036.391870847103</v>
      </c>
      <c r="L31" s="6">
        <f t="shared" si="9"/>
        <v>7561.8408038400012</v>
      </c>
      <c r="M31" s="4">
        <f t="shared" si="2"/>
        <v>7561.8408038400012</v>
      </c>
      <c r="N31" s="4">
        <f t="shared" si="0"/>
        <v>40036.391870847103</v>
      </c>
      <c r="O31" s="4"/>
    </row>
    <row r="32" spans="4:15" x14ac:dyDescent="0.25">
      <c r="D32" s="19"/>
      <c r="E32" s="20">
        <f t="shared" si="3"/>
        <v>10</v>
      </c>
      <c r="F32" s="21">
        <f t="shared" si="10"/>
        <v>1044.7041729532132</v>
      </c>
      <c r="G32" s="22">
        <f t="shared" si="5"/>
        <v>493.29931364116607</v>
      </c>
      <c r="H32" s="23">
        <f t="shared" si="7"/>
        <v>43020.16599963847</v>
      </c>
      <c r="I32" s="23">
        <f t="shared" si="8"/>
        <v>3450.0310607606912</v>
      </c>
      <c r="J32" s="24">
        <f t="shared" si="11"/>
        <v>15607.639419125762</v>
      </c>
      <c r="K32" s="1">
        <f t="shared" si="1"/>
        <v>38666.377350836272</v>
      </c>
      <c r="L32" s="6">
        <f t="shared" si="9"/>
        <v>7803.8197095628811</v>
      </c>
      <c r="M32" s="4">
        <f t="shared" si="2"/>
        <v>7803.8197095628811</v>
      </c>
      <c r="N32" s="4">
        <f t="shared" si="0"/>
        <v>38666.377350836272</v>
      </c>
      <c r="O32" s="4"/>
    </row>
    <row r="33" spans="4:15" x14ac:dyDescent="0.25">
      <c r="D33" s="19"/>
      <c r="E33" s="20">
        <f t="shared" si="3"/>
        <v>11</v>
      </c>
      <c r="F33" s="21">
        <f t="shared" si="10"/>
        <v>1028.5200031595843</v>
      </c>
      <c r="G33" s="22">
        <f t="shared" si="5"/>
        <v>488.36632050475441</v>
      </c>
      <c r="H33" s="23">
        <f t="shared" si="7"/>
        <v>42142.358197783702</v>
      </c>
      <c r="I33" s="23">
        <f t="shared" si="8"/>
        <v>3396.5844584342112</v>
      </c>
      <c r="J33" s="24">
        <f t="shared" si="11"/>
        <v>16107.083880537788</v>
      </c>
      <c r="K33" s="1">
        <f t="shared" si="1"/>
        <v>37485.400715949021</v>
      </c>
      <c r="L33" s="6">
        <f t="shared" si="9"/>
        <v>8053.541940268894</v>
      </c>
      <c r="M33" s="4">
        <f t="shared" si="2"/>
        <v>8053.541940268894</v>
      </c>
      <c r="N33" s="4">
        <f t="shared" si="0"/>
        <v>37485.400715949021</v>
      </c>
      <c r="O33" s="4"/>
    </row>
    <row r="34" spans="4:15" x14ac:dyDescent="0.25">
      <c r="D34" s="19"/>
      <c r="E34" s="20">
        <f t="shared" si="3"/>
        <v>12</v>
      </c>
      <c r="F34" s="21">
        <f t="shared" si="10"/>
        <v>1012.1300715029087</v>
      </c>
      <c r="G34" s="22">
        <f t="shared" si="5"/>
        <v>483.48265729970689</v>
      </c>
      <c r="H34" s="23">
        <f t="shared" si="7"/>
        <v>41244.648338202438</v>
      </c>
      <c r="I34" s="23">
        <f t="shared" si="8"/>
        <v>3342.4583481312061</v>
      </c>
      <c r="J34" s="24">
        <f t="shared" si="11"/>
        <v>16622.510564714998</v>
      </c>
      <c r="K34" s="1">
        <f t="shared" si="1"/>
        <v>36275.85140397615</v>
      </c>
      <c r="L34" s="6">
        <f t="shared" si="9"/>
        <v>8311.2552823574988</v>
      </c>
      <c r="M34" s="4">
        <f t="shared" si="2"/>
        <v>8311.2552823574988</v>
      </c>
      <c r="N34" s="4">
        <f t="shared" si="0"/>
        <v>36275.85140397615</v>
      </c>
      <c r="O34" s="4"/>
    </row>
    <row r="35" spans="4:15" x14ac:dyDescent="0.25">
      <c r="D35" s="19"/>
      <c r="E35" s="20">
        <f t="shared" si="3"/>
        <v>13</v>
      </c>
      <c r="F35" s="21">
        <f t="shared" si="10"/>
        <v>995.69044446903649</v>
      </c>
      <c r="G35" s="22">
        <f t="shared" si="5"/>
        <v>478.6478307267098</v>
      </c>
      <c r="H35" s="23">
        <f t="shared" si="7"/>
        <v>40339.251090085338</v>
      </c>
      <c r="I35" s="23">
        <f t="shared" si="8"/>
        <v>3288.1681238145461</v>
      </c>
      <c r="J35" s="24">
        <f t="shared" si="11"/>
        <v>17154.430902785876</v>
      </c>
      <c r="K35" s="1">
        <f t="shared" si="1"/>
        <v>35050.20376250695</v>
      </c>
      <c r="L35" s="6">
        <f t="shared" si="9"/>
        <v>8577.2154513929381</v>
      </c>
      <c r="M35" s="4">
        <f t="shared" si="2"/>
        <v>8577.2154513929381</v>
      </c>
      <c r="N35" s="4">
        <f t="shared" si="0"/>
        <v>35050.20376250695</v>
      </c>
      <c r="O35" s="4"/>
    </row>
    <row r="36" spans="4:15" x14ac:dyDescent="0.25">
      <c r="D36" s="19"/>
      <c r="E36" s="20">
        <f t="shared" si="3"/>
        <v>14</v>
      </c>
      <c r="F36" s="21">
        <f t="shared" si="10"/>
        <v>979.45072610033822</v>
      </c>
      <c r="G36" s="22">
        <f t="shared" si="5"/>
        <v>473.86135241944271</v>
      </c>
      <c r="H36" s="23">
        <f t="shared" si="7"/>
        <v>39445.678463084521</v>
      </c>
      <c r="I36" s="23">
        <f t="shared" si="8"/>
        <v>3234.5380778737567</v>
      </c>
      <c r="J36" s="24">
        <f t="shared" si="11"/>
        <v>17703.372691675024</v>
      </c>
      <c r="K36" s="1">
        <f t="shared" si="1"/>
        <v>33828.530195120766</v>
      </c>
      <c r="L36" s="6">
        <f t="shared" si="9"/>
        <v>8851.6863458375119</v>
      </c>
      <c r="M36" s="4">
        <f t="shared" si="2"/>
        <v>8851.6863458375119</v>
      </c>
      <c r="N36" s="4">
        <f t="shared" si="0"/>
        <v>33828.530195120766</v>
      </c>
      <c r="O36" s="4"/>
    </row>
    <row r="37" spans="4:15" x14ac:dyDescent="0.25">
      <c r="D37" s="19"/>
      <c r="E37" s="20">
        <f t="shared" si="3"/>
        <v>15</v>
      </c>
      <c r="F37" s="21">
        <f t="shared" si="10"/>
        <v>963.78989885564829</v>
      </c>
      <c r="G37" s="22">
        <f t="shared" si="5"/>
        <v>469.12273889524829</v>
      </c>
      <c r="H37" s="23">
        <f t="shared" si="7"/>
        <v>38593.536086382439</v>
      </c>
      <c r="I37" s="23">
        <f t="shared" si="8"/>
        <v>3182.8197619808925</v>
      </c>
      <c r="J37" s="24">
        <f t="shared" si="11"/>
        <v>18269.880617808623</v>
      </c>
      <c r="K37" s="1">
        <f t="shared" si="1"/>
        <v>32641.41553945902</v>
      </c>
      <c r="L37" s="6">
        <f t="shared" si="9"/>
        <v>9134.9403089043117</v>
      </c>
      <c r="M37" s="4">
        <f t="shared" si="2"/>
        <v>9134.9403089043117</v>
      </c>
      <c r="N37" s="4">
        <f t="shared" si="0"/>
        <v>32641.41553945902</v>
      </c>
      <c r="O37" s="4"/>
    </row>
    <row r="38" spans="4:15" x14ac:dyDescent="0.25">
      <c r="D38" s="19"/>
      <c r="E38" s="20">
        <f t="shared" si="3"/>
        <v>16</v>
      </c>
      <c r="F38" s="21">
        <f t="shared" si="10"/>
        <v>948.25467382270358</v>
      </c>
      <c r="G38" s="22">
        <f t="shared" si="5"/>
        <v>464.43151150629581</v>
      </c>
      <c r="H38" s="23">
        <f t="shared" si="7"/>
        <v>37747.496065396277</v>
      </c>
      <c r="I38" s="23">
        <f t="shared" si="8"/>
        <v>3131.5162348320964</v>
      </c>
      <c r="J38" s="24">
        <f t="shared" si="11"/>
        <v>18854.516797578501</v>
      </c>
      <c r="K38" s="1">
        <f t="shared" si="1"/>
        <v>31451.753901439122</v>
      </c>
      <c r="L38" s="6">
        <f t="shared" si="9"/>
        <v>9427.2583987892504</v>
      </c>
      <c r="M38" s="4">
        <f t="shared" si="2"/>
        <v>9427.2583987892504</v>
      </c>
      <c r="N38" s="4">
        <f t="shared" si="0"/>
        <v>31451.753901439122</v>
      </c>
      <c r="O38" s="4"/>
    </row>
    <row r="39" spans="4:15" x14ac:dyDescent="0.25">
      <c r="D39" s="19"/>
      <c r="E39" s="20">
        <f t="shared" si="3"/>
        <v>17</v>
      </c>
      <c r="F39" s="21">
        <f t="shared" si="10"/>
        <v>932.92457837945426</v>
      </c>
      <c r="G39" s="22">
        <f t="shared" si="5"/>
        <v>459.78719639123284</v>
      </c>
      <c r="H39" s="23">
        <f t="shared" si="7"/>
        <v>36913.800032815445</v>
      </c>
      <c r="I39" s="23">
        <f t="shared" si="8"/>
        <v>3080.8901276403099</v>
      </c>
      <c r="J39" s="24">
        <f t="shared" si="11"/>
        <v>19457.861335101014</v>
      </c>
      <c r="K39" s="1">
        <f t="shared" si="1"/>
        <v>30265.75949290525</v>
      </c>
      <c r="L39" s="6">
        <f t="shared" si="9"/>
        <v>9728.9306675505068</v>
      </c>
      <c r="M39" s="4">
        <f t="shared" si="2"/>
        <v>9728.9306675505068</v>
      </c>
      <c r="N39" s="4">
        <f t="shared" si="0"/>
        <v>30265.75949290525</v>
      </c>
      <c r="O39" s="4"/>
    </row>
    <row r="40" spans="4:15" x14ac:dyDescent="0.25">
      <c r="D40" s="19"/>
      <c r="E40" s="20">
        <f t="shared" si="3"/>
        <v>18</v>
      </c>
      <c r="F40" s="21">
        <f t="shared" si="10"/>
        <v>917.86077051795451</v>
      </c>
      <c r="G40" s="22">
        <f t="shared" si="5"/>
        <v>455.18932442732051</v>
      </c>
      <c r="H40" s="23">
        <f t="shared" si="7"/>
        <v>36097.256086834393</v>
      </c>
      <c r="I40" s="23">
        <f t="shared" si="8"/>
        <v>3031.1434085584933</v>
      </c>
      <c r="J40" s="24">
        <f t="shared" si="11"/>
        <v>20080.512897824246</v>
      </c>
      <c r="K40" s="1">
        <f t="shared" si="1"/>
        <v>29088.143046480764</v>
      </c>
      <c r="L40" s="6">
        <f t="shared" si="9"/>
        <v>10040.256448912123</v>
      </c>
      <c r="M40" s="4">
        <f t="shared" si="2"/>
        <v>10040.256448912123</v>
      </c>
      <c r="N40" s="4">
        <f t="shared" si="0"/>
        <v>29088.143046480764</v>
      </c>
      <c r="O40" s="4"/>
    </row>
    <row r="41" spans="4:15" x14ac:dyDescent="0.25">
      <c r="D41" s="19"/>
      <c r="E41" s="20">
        <f t="shared" si="3"/>
        <v>19</v>
      </c>
      <c r="F41" s="21">
        <f t="shared" si="10"/>
        <v>903.07918117818247</v>
      </c>
      <c r="G41" s="22">
        <f t="shared" si="5"/>
        <v>450.63743118304728</v>
      </c>
      <c r="H41" s="23">
        <f t="shared" si="7"/>
        <v>35299.143381220449</v>
      </c>
      <c r="I41" s="23">
        <f t="shared" si="8"/>
        <v>2982.3286879228299</v>
      </c>
      <c r="J41" s="24">
        <f t="shared" si="11"/>
        <v>20723.089310554624</v>
      </c>
      <c r="K41" s="1">
        <f t="shared" si="1"/>
        <v>27919.927413865968</v>
      </c>
      <c r="L41" s="6">
        <f t="shared" si="9"/>
        <v>10361.544655277312</v>
      </c>
      <c r="M41" s="4">
        <f t="shared" si="2"/>
        <v>10361.544655277312</v>
      </c>
      <c r="N41" s="4">
        <f t="shared" si="0"/>
        <v>27919.927413865968</v>
      </c>
      <c r="O41" s="4"/>
    </row>
    <row r="42" spans="4:15" x14ac:dyDescent="0.25">
      <c r="D42" s="19"/>
      <c r="E42" s="20">
        <f t="shared" si="3"/>
        <v>20</v>
      </c>
      <c r="F42" s="21">
        <f t="shared" si="10"/>
        <v>888.5086089355907</v>
      </c>
      <c r="G42" s="22">
        <f t="shared" si="5"/>
        <v>446.1310568712168</v>
      </c>
      <c r="H42" s="23">
        <f t="shared" si="7"/>
        <v>34513.942710020798</v>
      </c>
      <c r="I42" s="23">
        <f t="shared" si="8"/>
        <v>2934.2108301488947</v>
      </c>
      <c r="J42" s="24">
        <f t="shared" si="11"/>
        <v>21386.228168492373</v>
      </c>
      <c r="K42" s="1">
        <f t="shared" si="1"/>
        <v>26755.039455923503</v>
      </c>
      <c r="L42" s="6">
        <f t="shared" si="9"/>
        <v>10693.114084246186</v>
      </c>
      <c r="M42" s="4">
        <f t="shared" si="2"/>
        <v>10693.114084246186</v>
      </c>
      <c r="N42" s="4">
        <f t="shared" si="0"/>
        <v>26755.039455923503</v>
      </c>
      <c r="O42" s="4"/>
    </row>
    <row r="43" spans="4:15" x14ac:dyDescent="0.25">
      <c r="D43" s="19"/>
      <c r="E43" s="20">
        <f t="shared" si="3"/>
        <v>21</v>
      </c>
      <c r="F43" s="21">
        <f t="shared" si="10"/>
        <v>874.16955336268359</v>
      </c>
      <c r="G43" s="22">
        <f t="shared" si="5"/>
        <v>441.66974630250462</v>
      </c>
      <c r="H43" s="23">
        <f t="shared" si="7"/>
        <v>33743.288946989516</v>
      </c>
      <c r="I43" s="23">
        <f t="shared" si="8"/>
        <v>2886.8575330249269</v>
      </c>
      <c r="J43" s="24">
        <f t="shared" si="11"/>
        <v>22070.587469884129</v>
      </c>
      <c r="K43" s="1">
        <f t="shared" si="1"/>
        <v>25594.852745072381</v>
      </c>
      <c r="L43" s="6">
        <f t="shared" si="9"/>
        <v>11035.293734942064</v>
      </c>
      <c r="M43" s="4">
        <f t="shared" si="2"/>
        <v>11035.293734942064</v>
      </c>
      <c r="N43" s="4">
        <f t="shared" si="0"/>
        <v>25594.852745072381</v>
      </c>
      <c r="O43" s="4"/>
    </row>
    <row r="44" spans="4:15" x14ac:dyDescent="0.25">
      <c r="D44" s="19"/>
      <c r="E44" s="20">
        <f t="shared" si="3"/>
        <v>22</v>
      </c>
      <c r="F44" s="21">
        <f t="shared" si="10"/>
        <v>860.06834735865857</v>
      </c>
      <c r="G44" s="22">
        <f t="shared" si="5"/>
        <v>437.25304883947956</v>
      </c>
      <c r="H44" s="23">
        <f t="shared" si="7"/>
        <v>32987.711338227527</v>
      </c>
      <c r="I44" s="23">
        <f t="shared" si="8"/>
        <v>2840.289710317234</v>
      </c>
      <c r="J44" s="24">
        <f t="shared" si="11"/>
        <v>22776.846268920421</v>
      </c>
      <c r="K44" s="1">
        <f t="shared" si="1"/>
        <v>24439.577914084555</v>
      </c>
      <c r="L44" s="6">
        <f t="shared" si="9"/>
        <v>11388.42313446021</v>
      </c>
      <c r="M44" s="4">
        <f t="shared" si="2"/>
        <v>11388.42313446021</v>
      </c>
      <c r="N44" s="4">
        <f t="shared" si="0"/>
        <v>24439.577914084555</v>
      </c>
      <c r="O44" s="4"/>
    </row>
    <row r="45" spans="4:15" x14ac:dyDescent="0.25">
      <c r="D45" s="19"/>
      <c r="E45" s="20">
        <f t="shared" si="3"/>
        <v>23</v>
      </c>
      <c r="F45" s="21">
        <f t="shared" si="10"/>
        <v>846.19816580042766</v>
      </c>
      <c r="G45" s="22">
        <f t="shared" si="5"/>
        <v>432.88051835108479</v>
      </c>
      <c r="H45" s="23">
        <f t="shared" si="7"/>
        <v>32246.71219987977</v>
      </c>
      <c r="I45" s="23">
        <f t="shared" si="8"/>
        <v>2794.4848227393322</v>
      </c>
      <c r="J45" s="24">
        <f t="shared" si="11"/>
        <v>23505.705349525873</v>
      </c>
      <c r="K45" s="1">
        <f t="shared" si="1"/>
        <v>23288.344347856168</v>
      </c>
      <c r="L45" s="6">
        <f t="shared" si="9"/>
        <v>11752.852674762937</v>
      </c>
      <c r="M45" s="4">
        <f t="shared" si="2"/>
        <v>11752.852674762937</v>
      </c>
      <c r="N45" s="4">
        <f t="shared" si="0"/>
        <v>23288.344347856168</v>
      </c>
      <c r="O45" s="4"/>
    </row>
    <row r="46" spans="4:15" x14ac:dyDescent="0.25">
      <c r="D46" s="19"/>
      <c r="E46" s="20">
        <f t="shared" si="3"/>
        <v>24</v>
      </c>
      <c r="F46" s="21">
        <f t="shared" si="10"/>
        <v>832.54672210976662</v>
      </c>
      <c r="G46" s="22">
        <f t="shared" si="5"/>
        <v>428.55171316757395</v>
      </c>
      <c r="H46" s="23">
        <f t="shared" si="7"/>
        <v>31519.367401662719</v>
      </c>
      <c r="I46" s="23">
        <f t="shared" si="8"/>
        <v>2749.4022950952935</v>
      </c>
      <c r="J46" s="24">
        <f t="shared" si="11"/>
        <v>24257.887920710702</v>
      </c>
      <c r="K46" s="1">
        <f t="shared" si="1"/>
        <v>22139.825736402661</v>
      </c>
      <c r="L46" s="6">
        <f t="shared" si="9"/>
        <v>12128.943960355351</v>
      </c>
      <c r="M46" s="4">
        <f t="shared" si="2"/>
        <v>12128.943960355351</v>
      </c>
      <c r="N46" s="4">
        <f t="shared" si="0"/>
        <v>22139.825736402661</v>
      </c>
      <c r="O46" s="4"/>
    </row>
    <row r="47" spans="4:15" x14ac:dyDescent="0.25">
      <c r="D47" s="25"/>
      <c r="E47" s="26">
        <f t="shared" si="3"/>
        <v>25</v>
      </c>
      <c r="F47" s="27">
        <f t="shared" si="10"/>
        <v>819.11586927156873</v>
      </c>
      <c r="G47" s="28">
        <f t="shared" si="5"/>
        <v>424.26619603589819</v>
      </c>
      <c r="H47" s="29">
        <f t="shared" si="7"/>
        <v>30805.855626108423</v>
      </c>
      <c r="I47" s="29">
        <f t="shared" si="8"/>
        <v>2705.0482466824287</v>
      </c>
      <c r="J47" s="30">
        <f t="shared" si="11"/>
        <v>25034.140334173444</v>
      </c>
      <c r="K47" s="1">
        <f t="shared" si="1"/>
        <v>20993.833705704128</v>
      </c>
      <c r="L47" s="6">
        <f t="shared" si="9"/>
        <v>12517.070167086722</v>
      </c>
      <c r="M47" s="4">
        <f t="shared" si="2"/>
        <v>12517.070167086722</v>
      </c>
      <c r="N47" s="4">
        <f t="shared" si="0"/>
        <v>20993.833705704128</v>
      </c>
      <c r="O47" s="4"/>
    </row>
    <row r="48" spans="4:15" x14ac:dyDescent="0.25">
      <c r="O48" s="4"/>
    </row>
  </sheetData>
  <conditionalFormatting sqref="J22:J27">
    <cfRule type="expression" dxfId="1" priority="7">
      <formula>#REF!</formula>
    </cfRule>
  </conditionalFormatting>
  <conditionalFormatting sqref="K19">
    <cfRule type="cellIs" dxfId="0" priority="5" operator="lessThan">
      <formula>0.03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Criterio objetivo 1</vt:lpstr>
      <vt:lpstr>Ejemplo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Aitor Ezeiza Virumbrales</dc:creator>
  <cp:lastModifiedBy>Susana Cid Morales</cp:lastModifiedBy>
  <dcterms:created xsi:type="dcterms:W3CDTF">2022-11-30T08:06:10Z</dcterms:created>
  <dcterms:modified xsi:type="dcterms:W3CDTF">2024-09-12T12:46:30Z</dcterms:modified>
</cp:coreProperties>
</file>